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damienmulhall/Desktop/CX Tools Pricing Comparison Piece/"/>
    </mc:Choice>
  </mc:AlternateContent>
  <xr:revisionPtr revIDLastSave="0" documentId="13_ncr:1_{8D638634-B31A-6D48-BA8A-710CEC908FC1}" xr6:coauthVersionLast="47" xr6:coauthVersionMax="47" xr10:uidLastSave="{00000000-0000-0000-0000-000000000000}"/>
  <bookViews>
    <workbookView xWindow="33280" yWindow="1380" windowWidth="34000" windowHeight="20220" tabRatio="500" activeTab="5" xr2:uid="{00000000-000D-0000-FFFF-FFFF00000000}"/>
  </bookViews>
  <sheets>
    <sheet name="Methodology" sheetId="1" r:id="rId1"/>
    <sheet name="Pricing Reference" sheetId="2" r:id="rId2"/>
    <sheet name="Billing Models" sheetId="3" r:id="rId3"/>
    <sheet name="Scenario Grid" sheetId="4" r:id="rId4"/>
    <sheet name="AI Cost Comparison" sheetId="5" r:id="rId5"/>
    <sheet name="Amazon Connect Sidenot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25" i="5" l="1"/>
  <c r="H25" i="5"/>
  <c r="J25" i="5" s="1"/>
  <c r="G25" i="5"/>
  <c r="F25" i="5"/>
  <c r="E25" i="5"/>
  <c r="D25" i="5"/>
  <c r="K25" i="5" s="1"/>
  <c r="I24" i="5"/>
  <c r="H24" i="5"/>
  <c r="J24" i="5" s="1"/>
  <c r="G24" i="5"/>
  <c r="F24" i="5"/>
  <c r="E24" i="5"/>
  <c r="D24" i="5"/>
  <c r="K24" i="5" s="1"/>
  <c r="I23" i="5"/>
  <c r="H23" i="5"/>
  <c r="J23" i="5" s="1"/>
  <c r="G23" i="5"/>
  <c r="F23" i="5"/>
  <c r="E23" i="5"/>
  <c r="D23" i="5"/>
  <c r="K23" i="5" s="1"/>
  <c r="I22" i="5"/>
  <c r="H22" i="5"/>
  <c r="J22" i="5" s="1"/>
  <c r="G22" i="5"/>
  <c r="F22" i="5"/>
  <c r="E22" i="5"/>
  <c r="D22" i="5"/>
  <c r="K22" i="5" s="1"/>
  <c r="I20" i="5"/>
  <c r="H20" i="5"/>
  <c r="J20" i="5" s="1"/>
  <c r="G20" i="5"/>
  <c r="F20" i="5"/>
  <c r="E20" i="5"/>
  <c r="D20" i="5"/>
  <c r="K20" i="5" s="1"/>
  <c r="I19" i="5"/>
  <c r="K19" i="5" s="1"/>
  <c r="H19" i="5"/>
  <c r="J19" i="5" s="1"/>
  <c r="G19" i="5"/>
  <c r="F19" i="5"/>
  <c r="E19" i="5"/>
  <c r="D19" i="5"/>
  <c r="I18" i="5"/>
  <c r="H18" i="5"/>
  <c r="J18" i="5" s="1"/>
  <c r="G18" i="5"/>
  <c r="F18" i="5"/>
  <c r="E18" i="5"/>
  <c r="D18" i="5"/>
  <c r="K18" i="5" s="1"/>
  <c r="I17" i="5"/>
  <c r="H17" i="5"/>
  <c r="J17" i="5" s="1"/>
  <c r="G17" i="5"/>
  <c r="F17" i="5"/>
  <c r="E17" i="5"/>
  <c r="D17" i="5"/>
  <c r="K17" i="5" s="1"/>
  <c r="I15" i="5"/>
  <c r="H15" i="5"/>
  <c r="J15" i="5" s="1"/>
  <c r="G15" i="5"/>
  <c r="F15" i="5"/>
  <c r="E15" i="5"/>
  <c r="D15" i="5"/>
  <c r="K15" i="5" s="1"/>
  <c r="I14" i="5"/>
  <c r="H14" i="5"/>
  <c r="J14" i="5" s="1"/>
  <c r="G14" i="5"/>
  <c r="F14" i="5"/>
  <c r="E14" i="5"/>
  <c r="D14" i="5"/>
  <c r="K14" i="5" s="1"/>
  <c r="I13" i="5"/>
  <c r="H13" i="5"/>
  <c r="J13" i="5" s="1"/>
  <c r="G13" i="5"/>
  <c r="F13" i="5"/>
  <c r="E13" i="5"/>
  <c r="D13" i="5"/>
  <c r="K13" i="5" s="1"/>
  <c r="I12" i="5"/>
  <c r="H12" i="5"/>
  <c r="J12" i="5" s="1"/>
  <c r="G12" i="5"/>
  <c r="F12" i="5"/>
  <c r="E12" i="5"/>
  <c r="D12" i="5"/>
  <c r="K12" i="5" s="1"/>
  <c r="I10" i="5"/>
  <c r="H10" i="5"/>
  <c r="J10" i="5" s="1"/>
  <c r="G10" i="5"/>
  <c r="F10" i="5"/>
  <c r="E10" i="5"/>
  <c r="D10" i="5"/>
  <c r="K10" i="5" s="1"/>
  <c r="I9" i="5"/>
  <c r="H9" i="5"/>
  <c r="J9" i="5" s="1"/>
  <c r="G9" i="5"/>
  <c r="F9" i="5"/>
  <c r="E9" i="5"/>
  <c r="D9" i="5"/>
  <c r="K9" i="5" s="1"/>
  <c r="I8" i="5"/>
  <c r="H8" i="5"/>
  <c r="J8" i="5" s="1"/>
  <c r="G8" i="5"/>
  <c r="F8" i="5"/>
  <c r="E8" i="5"/>
  <c r="D8" i="5"/>
  <c r="K8" i="5" s="1"/>
  <c r="I7" i="5"/>
  <c r="H7" i="5"/>
  <c r="J7" i="5" s="1"/>
  <c r="G7" i="5"/>
  <c r="F7" i="5"/>
  <c r="E7" i="5"/>
  <c r="D7" i="5"/>
  <c r="K7" i="5" s="1"/>
  <c r="I5" i="5"/>
  <c r="H5" i="5"/>
  <c r="J5" i="5" s="1"/>
  <c r="G5" i="5"/>
  <c r="F5" i="5"/>
  <c r="E5" i="5"/>
  <c r="D5" i="5"/>
  <c r="K5" i="5" s="1"/>
  <c r="I4" i="5"/>
  <c r="H4" i="5"/>
  <c r="J4" i="5" s="1"/>
  <c r="G4" i="5"/>
  <c r="F4" i="5"/>
  <c r="E4" i="5"/>
  <c r="D4" i="5"/>
  <c r="K4" i="5" s="1"/>
  <c r="I3" i="5"/>
  <c r="H3" i="5"/>
  <c r="J3" i="5" s="1"/>
  <c r="G3" i="5"/>
  <c r="F3" i="5"/>
  <c r="E3" i="5"/>
  <c r="D3" i="5"/>
  <c r="K3" i="5" s="1"/>
  <c r="I2" i="5"/>
  <c r="H2" i="5"/>
  <c r="J2" i="5" s="1"/>
  <c r="G2" i="5"/>
  <c r="F2" i="5"/>
  <c r="E2" i="5"/>
  <c r="D2" i="5"/>
  <c r="K2" i="5" s="1"/>
  <c r="W54" i="4"/>
  <c r="X54" i="4" s="1"/>
  <c r="T54" i="4"/>
  <c r="U54" i="4" s="1"/>
  <c r="Y54" i="4" s="1"/>
  <c r="R54" i="4"/>
  <c r="S54" i="4" s="1"/>
  <c r="L54" i="4"/>
  <c r="M54" i="4" s="1"/>
  <c r="I54" i="4"/>
  <c r="J54" i="4" s="1"/>
  <c r="G54" i="4"/>
  <c r="F54" i="4"/>
  <c r="W52" i="4"/>
  <c r="X52" i="4" s="1"/>
  <c r="T52" i="4"/>
  <c r="U52" i="4" s="1"/>
  <c r="R52" i="4"/>
  <c r="S52" i="4" s="1"/>
  <c r="L52" i="4"/>
  <c r="M52" i="4" s="1"/>
  <c r="I52" i="4"/>
  <c r="J52" i="4" s="1"/>
  <c r="Z52" i="4" s="1"/>
  <c r="G52" i="4"/>
  <c r="F52" i="4"/>
  <c r="W50" i="4"/>
  <c r="X50" i="4" s="1"/>
  <c r="T50" i="4"/>
  <c r="U50" i="4" s="1"/>
  <c r="R50" i="4"/>
  <c r="S50" i="4" s="1"/>
  <c r="L50" i="4"/>
  <c r="M50" i="4" s="1"/>
  <c r="I50" i="4"/>
  <c r="J50" i="4" s="1"/>
  <c r="Z50" i="4" s="1"/>
  <c r="G50" i="4"/>
  <c r="F50" i="4"/>
  <c r="W48" i="4"/>
  <c r="X48" i="4" s="1"/>
  <c r="T48" i="4"/>
  <c r="U48" i="4" s="1"/>
  <c r="R48" i="4"/>
  <c r="S48" i="4" s="1"/>
  <c r="L48" i="4"/>
  <c r="M48" i="4" s="1"/>
  <c r="I48" i="4"/>
  <c r="J48" i="4" s="1"/>
  <c r="G48" i="4"/>
  <c r="F48" i="4"/>
  <c r="W45" i="4"/>
  <c r="X45" i="4" s="1"/>
  <c r="T45" i="4"/>
  <c r="U45" i="4" s="1"/>
  <c r="R45" i="4"/>
  <c r="S45" i="4" s="1"/>
  <c r="L45" i="4"/>
  <c r="M45" i="4" s="1"/>
  <c r="I45" i="4"/>
  <c r="J45" i="4" s="1"/>
  <c r="G45" i="4"/>
  <c r="F45" i="4"/>
  <c r="W43" i="4"/>
  <c r="X43" i="4" s="1"/>
  <c r="T43" i="4"/>
  <c r="U43" i="4" s="1"/>
  <c r="R43" i="4"/>
  <c r="S43" i="4" s="1"/>
  <c r="L43" i="4"/>
  <c r="M43" i="4" s="1"/>
  <c r="I43" i="4"/>
  <c r="J43" i="4" s="1"/>
  <c r="F43" i="4"/>
  <c r="G43" i="4" s="1"/>
  <c r="W41" i="4"/>
  <c r="X41" i="4" s="1"/>
  <c r="T41" i="4"/>
  <c r="U41" i="4" s="1"/>
  <c r="R41" i="4"/>
  <c r="S41" i="4" s="1"/>
  <c r="L41" i="4"/>
  <c r="M41" i="4" s="1"/>
  <c r="I41" i="4"/>
  <c r="J41" i="4" s="1"/>
  <c r="G41" i="4"/>
  <c r="F41" i="4"/>
  <c r="W39" i="4"/>
  <c r="X39" i="4" s="1"/>
  <c r="T39" i="4"/>
  <c r="U39" i="4" s="1"/>
  <c r="R39" i="4"/>
  <c r="S39" i="4" s="1"/>
  <c r="L39" i="4"/>
  <c r="M39" i="4" s="1"/>
  <c r="I39" i="4"/>
  <c r="J39" i="4" s="1"/>
  <c r="G39" i="4"/>
  <c r="F39" i="4"/>
  <c r="W36" i="4"/>
  <c r="X36" i="4" s="1"/>
  <c r="T36" i="4"/>
  <c r="U36" i="4" s="1"/>
  <c r="R36" i="4"/>
  <c r="S36" i="4" s="1"/>
  <c r="L36" i="4"/>
  <c r="M36" i="4" s="1"/>
  <c r="I36" i="4"/>
  <c r="J36" i="4" s="1"/>
  <c r="F36" i="4"/>
  <c r="G36" i="4" s="1"/>
  <c r="W34" i="4"/>
  <c r="X34" i="4" s="1"/>
  <c r="T34" i="4"/>
  <c r="U34" i="4" s="1"/>
  <c r="R34" i="4"/>
  <c r="S34" i="4" s="1"/>
  <c r="L34" i="4"/>
  <c r="M34" i="4" s="1"/>
  <c r="I34" i="4"/>
  <c r="J34" i="4" s="1"/>
  <c r="F34" i="4"/>
  <c r="G34" i="4" s="1"/>
  <c r="W32" i="4"/>
  <c r="X32" i="4" s="1"/>
  <c r="T32" i="4"/>
  <c r="U32" i="4" s="1"/>
  <c r="R32" i="4"/>
  <c r="S32" i="4" s="1"/>
  <c r="L32" i="4"/>
  <c r="M32" i="4" s="1"/>
  <c r="I32" i="4"/>
  <c r="J32" i="4" s="1"/>
  <c r="G32" i="4"/>
  <c r="F32" i="4"/>
  <c r="W30" i="4"/>
  <c r="X30" i="4" s="1"/>
  <c r="T30" i="4"/>
  <c r="U30" i="4" s="1"/>
  <c r="R30" i="4"/>
  <c r="S30" i="4" s="1"/>
  <c r="L30" i="4"/>
  <c r="M30" i="4" s="1"/>
  <c r="I30" i="4"/>
  <c r="J30" i="4" s="1"/>
  <c r="F30" i="4"/>
  <c r="G30" i="4" s="1"/>
  <c r="W27" i="4"/>
  <c r="X27" i="4" s="1"/>
  <c r="T27" i="4"/>
  <c r="U27" i="4" s="1"/>
  <c r="R27" i="4"/>
  <c r="S27" i="4" s="1"/>
  <c r="L27" i="4"/>
  <c r="M27" i="4" s="1"/>
  <c r="I27" i="4"/>
  <c r="J27" i="4" s="1"/>
  <c r="F27" i="4"/>
  <c r="G27" i="4" s="1"/>
  <c r="W25" i="4"/>
  <c r="X25" i="4" s="1"/>
  <c r="T25" i="4"/>
  <c r="U25" i="4" s="1"/>
  <c r="R25" i="4"/>
  <c r="S25" i="4" s="1"/>
  <c r="L25" i="4"/>
  <c r="M25" i="4" s="1"/>
  <c r="I25" i="4"/>
  <c r="J25" i="4" s="1"/>
  <c r="F25" i="4"/>
  <c r="G25" i="4" s="1"/>
  <c r="W23" i="4"/>
  <c r="X23" i="4" s="1"/>
  <c r="T23" i="4"/>
  <c r="U23" i="4" s="1"/>
  <c r="R23" i="4"/>
  <c r="S23" i="4" s="1"/>
  <c r="L23" i="4"/>
  <c r="M23" i="4" s="1"/>
  <c r="I23" i="4"/>
  <c r="J23" i="4" s="1"/>
  <c r="F23" i="4"/>
  <c r="G23" i="4" s="1"/>
  <c r="W21" i="4"/>
  <c r="X21" i="4" s="1"/>
  <c r="T21" i="4"/>
  <c r="U21" i="4" s="1"/>
  <c r="R21" i="4"/>
  <c r="S21" i="4" s="1"/>
  <c r="L21" i="4"/>
  <c r="M21" i="4" s="1"/>
  <c r="I21" i="4"/>
  <c r="J21" i="4" s="1"/>
  <c r="F21" i="4"/>
  <c r="G21" i="4" s="1"/>
  <c r="W18" i="4"/>
  <c r="X18" i="4" s="1"/>
  <c r="T18" i="4"/>
  <c r="U18" i="4" s="1"/>
  <c r="R18" i="4"/>
  <c r="S18" i="4" s="1"/>
  <c r="L18" i="4"/>
  <c r="M18" i="4" s="1"/>
  <c r="I18" i="4"/>
  <c r="J18" i="4" s="1"/>
  <c r="F18" i="4"/>
  <c r="G18" i="4" s="1"/>
  <c r="W16" i="4"/>
  <c r="X16" i="4" s="1"/>
  <c r="T16" i="4"/>
  <c r="U16" i="4" s="1"/>
  <c r="R16" i="4"/>
  <c r="S16" i="4" s="1"/>
  <c r="L16" i="4"/>
  <c r="M16" i="4" s="1"/>
  <c r="I16" i="4"/>
  <c r="J16" i="4" s="1"/>
  <c r="F16" i="4"/>
  <c r="G16" i="4" s="1"/>
  <c r="W14" i="4"/>
  <c r="X14" i="4" s="1"/>
  <c r="T14" i="4"/>
  <c r="U14" i="4" s="1"/>
  <c r="R14" i="4"/>
  <c r="S14" i="4" s="1"/>
  <c r="L14" i="4"/>
  <c r="M14" i="4" s="1"/>
  <c r="I14" i="4"/>
  <c r="J14" i="4" s="1"/>
  <c r="F14" i="4"/>
  <c r="G14" i="4" s="1"/>
  <c r="W12" i="4"/>
  <c r="X12" i="4" s="1"/>
  <c r="T12" i="4"/>
  <c r="U12" i="4" s="1"/>
  <c r="R12" i="4"/>
  <c r="S12" i="4" s="1"/>
  <c r="L12" i="4"/>
  <c r="M12" i="4" s="1"/>
  <c r="I12" i="4"/>
  <c r="J12" i="4" s="1"/>
  <c r="F12" i="4"/>
  <c r="G12" i="4" s="1"/>
  <c r="Y45" i="4" l="1"/>
  <c r="Z45" i="4"/>
  <c r="Y43" i="4"/>
  <c r="Z43" i="4"/>
  <c r="Z41" i="4"/>
  <c r="Y41" i="4"/>
  <c r="Y39" i="4"/>
  <c r="Z39" i="4"/>
  <c r="Y36" i="4"/>
  <c r="Z36" i="4"/>
  <c r="Y34" i="4"/>
  <c r="Z34" i="4"/>
  <c r="Y32" i="4"/>
  <c r="Z32" i="4"/>
  <c r="Z30" i="4"/>
  <c r="Y30" i="4"/>
  <c r="Y27" i="4"/>
  <c r="Z27" i="4"/>
  <c r="Z25" i="4"/>
  <c r="Y25" i="4"/>
  <c r="Y23" i="4"/>
  <c r="Z23" i="4"/>
  <c r="Y21" i="4"/>
  <c r="Z21" i="4"/>
  <c r="Y18" i="4"/>
  <c r="Z18" i="4"/>
  <c r="Y16" i="4"/>
  <c r="Z16" i="4"/>
  <c r="Y14" i="4"/>
  <c r="Z14" i="4"/>
  <c r="Y12" i="4"/>
  <c r="Z12" i="4"/>
  <c r="Z54" i="4"/>
  <c r="Y52" i="4"/>
  <c r="Y50" i="4"/>
  <c r="Y48" i="4"/>
  <c r="Z4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B2" authorId="0" shapeId="0" xr:uid="{00000000-0006-0000-0300-000001000000}">
      <text>
        <r>
          <rPr>
            <sz val="10"/>
            <color rgb="FF000000"/>
            <rFont val="Arial"/>
            <family val="2"/>
          </rPr>
          <t xml:space="preserve">Change this value to model different AI resolution rates.
</t>
        </r>
        <r>
          <rPr>
            <sz val="10"/>
            <color rgb="FF000000"/>
            <rFont val="Arial"/>
            <family val="2"/>
          </rPr>
          <t xml:space="preserve">Vendors typically promise 40-80%.
</t>
        </r>
        <r>
          <rPr>
            <sz val="10"/>
            <color rgb="FF000000"/>
            <rFont val="Arial"/>
            <family val="2"/>
          </rPr>
          <t xml:space="preserve">Default: 50% (conservative baseline).
</t>
        </r>
        <r>
          <rPr>
            <sz val="10"/>
            <color rgb="FF000000"/>
            <rFont val="Arial"/>
            <family val="2"/>
          </rPr>
          <t xml:space="preserve">
</t>
        </r>
        <r>
          <rPr>
            <sz val="10"/>
            <color rgb="FF000000"/>
            <rFont val="Arial"/>
            <family val="2"/>
          </rPr>
          <t xml:space="preserve">Cells that update: Gorgias, Intercom, Zendesk, Hay, HubSpot AI costs.
</t>
        </r>
        <r>
          <rPr>
            <sz val="10"/>
            <color rgb="FF000000"/>
            <rFont val="Arial"/>
            <family val="2"/>
          </rPr>
          <t xml:space="preserve">Freshdesk does NOT change (charges per session, not per resolution).
</t>
        </r>
        <r>
          <rPr>
            <sz val="10"/>
            <color rgb="FF000000"/>
            <rFont val="Arial"/>
            <family val="2"/>
          </rPr>
          <t>Tidio does NOT change (flat plan pricing).</t>
        </r>
      </text>
    </comment>
  </commentList>
</comments>
</file>

<file path=xl/sharedStrings.xml><?xml version="1.0" encoding="utf-8"?>
<sst xmlns="http://schemas.openxmlformats.org/spreadsheetml/2006/main" count="410" uniqueCount="205">
  <si>
    <t>METHODOLOGY STATEMENT</t>
  </si>
  <si>
    <t>AI Customer Service Pricing: 40-Scenario Cost Comparison (2026)</t>
  </si>
  <si>
    <t>Data collected: 24 February 2026</t>
  </si>
  <si>
    <t>All pricing in this analysis is based on publicly listed rates as of 24 February 2026.</t>
  </si>
  <si>
    <t>No negotiated discounts, enterprise agreements, or promotional offers have been applied.</t>
  </si>
  <si>
    <t>All figures are taken directly from vendor pricing pages, with screenshots archived as evidence.</t>
  </si>
  <si>
    <t>Many providers offer discounts for annual billing or high-volume commitments - these are noted but not modelled.</t>
  </si>
  <si>
    <t>BILLING FREQUENCY: All calculations use MONTHLY billing rates.</t>
  </si>
  <si>
    <t>CURRENCY: USD ($) and EUR (€) shown as listed by each vendor. No FX conversion applied.</t>
  </si>
  <si>
    <t>COST STRUCTURE: Each vendor's cost is split into two components:</t>
  </si>
  <si>
    <t xml:space="preserve">  • Helpdesk Base: The platform/seat cost required to run support operations (agent seats, ticket routing, reporting).</t>
  </si>
  <si>
    <t xml:space="preserve">  • AI Cost: The additional spend specifically for AI automation (per-resolution, per-session, or bundled).</t>
  </si>
  <si>
    <t>This split allows readers to compare AI costs independently of platform choice.</t>
  </si>
  <si>
    <t>A company already paying for Zendesk seats can compare just the AI column against alternatives.</t>
  </si>
  <si>
    <t>ASSUMPTIONS:</t>
  </si>
  <si>
    <t xml:space="preserve">  * AI Resolution Rate: Default 50% of total ticket volume. This is a conservative mid-market baseline. The Scenario Grid allows you to change this (cell B2) to model rates from 40-80%. Vendors routinely quote rates across this full range, but the actual number depends heavily on implementation quality - how well instructions, playbooks, and knowledge bases have been configured - not just the platform itself.</t>
  </si>
  <si>
    <t xml:space="preserve">  • Freshdesk sessions = total tickets × 1.2 (some customers initiate sessions that don't become tickets)</t>
  </si>
  <si>
    <t xml:space="preserve">  • Gorgias 'conversations' align with total ticket count for AI Agent billing</t>
  </si>
  <si>
    <t xml:space="preserve">  • Zendesk: Suite Professional ($115/agent) used as base. Advanced AI add-on ($50/agent) in AI cost.</t>
  </si>
  <si>
    <t xml:space="preserve">  • Zendesk AR at $1.50/resolution (committed rate). PAYG $2.00 noted but not modelled.</t>
  </si>
  <si>
    <t xml:space="preserve">  • Intercom: Advanced plan ($99/seat) used as representative mid-tier.</t>
  </si>
  <si>
    <t xml:space="preserve">  • Hay: AI-only platform - no helpdesk base cost. Requires existing helpdesk (Zendesk, Intercom, etc.)</t>
  </si>
  <si>
    <t xml:space="preserve">  • Amazon Connect: Sidebar only - infrastructure service, not comparable to finished helpdesks.</t>
  </si>
  <si>
    <t>INTERACTIVE INPUTS: The Scenario Grid sheet contains editable assumption cells (highlighted yellow). The AI Resolution Rate (B2) is the primary variable. Changing it recalculates all resolution-based AI costs (Gorgias, Intercom, Zendesk, Hay, HubSpot). Freshdesk costs do not change because Freddy AI charges per session regardless of outcome. Tidio costs do not change because AI is bundled in the plan price.</t>
  </si>
  <si>
    <t>IMPORTANT NOTE ON HAY:</t>
  </si>
  <si>
    <t>Hay is an AI automation layer, not a full helpdesk. Its cost represents AI spend only.</t>
  </si>
  <si>
    <t>A company using Hay still needs a helpdesk platform underneath. To get true total cost,</t>
  </si>
  <si>
    <t>add Hay's AI cost to your existing helpdesk base cost (minus that helpdesk's AI add-on).</t>
  </si>
  <si>
    <t>WHAT THIS ANALYSIS DOES NOT INCLUDE:</t>
  </si>
  <si>
    <t xml:space="preserve">  • Implementation, onboarding, or training costs</t>
  </si>
  <si>
    <t xml:space="preserve">  • Third-party integration fees</t>
  </si>
  <si>
    <t xml:space="preserve">  • Negotiated enterprise discounts</t>
  </si>
  <si>
    <t xml:space="preserve">  • Channel-specific add-ons (SMS, WhatsApp, voice)</t>
  </si>
  <si>
    <t>HUBSPOT SERVICE HUB + BREEZE AI:</t>
  </si>
  <si>
    <t xml:space="preserve">  • Service Hub Professional ($100/seat/mo) used as base tier for grid calculations.</t>
  </si>
  <si>
    <t xml:space="preserve">  • Breeze Customer Agent uses HubSpot Credits: 100 credits per conversation = $1.00/conversation.</t>
  </si>
  <si>
    <t xml:space="preserve">  • Professional includes 5,000 credits/month (= 50 free AI conversations). Enterprise: 10,000 (= 100).</t>
  </si>
  <si>
    <t xml:space="preserve">  • Additional credits: $10/1,000 credits ($0.01/credit).</t>
  </si>
  <si>
    <t xml:space="preserve">  • NOTE: Breeze AI pricing is not shown on the Service Hub pricing page. It is documented in</t>
  </si>
  <si>
    <t xml:space="preserve">    HubSpot's Credits &amp; Billing knowledge base article (knowledge.hubspot.com/account-management).</t>
  </si>
  <si>
    <t>SALESFORCE SERVICE CLOUD - EXCLUDED:</t>
  </si>
  <si>
    <t xml:space="preserve">  • Salesforce does not publish AI agent pricing publicly. All AI capabilities (Einstein AI,</t>
  </si>
  <si>
    <t xml:space="preserve">  Agentforce) require custom quotes through sales consultations.</t>
  </si>
  <si>
    <t xml:space="preserve">  • This piece only includes vendors with publicly verifiable pricing.</t>
  </si>
  <si>
    <t xml:space="preserve">  • Salesforce's omission is itself a data point about pricing transparency in this market.</t>
  </si>
  <si>
    <t>Vendor</t>
  </si>
  <si>
    <t>Billing Model</t>
  </si>
  <si>
    <t>Currency</t>
  </si>
  <si>
    <t>Base Plan (used in grid)</t>
  </si>
  <si>
    <t>AI Cost Model</t>
  </si>
  <si>
    <t>AI Unit</t>
  </si>
  <si>
    <t>Bundled AI Allowance</t>
  </si>
  <si>
    <t>Source</t>
  </si>
  <si>
    <t>Gorgias</t>
  </si>
  <si>
    <t>Ticket-volume tier + per-resolved-conversation</t>
  </si>
  <si>
    <t>USD</t>
  </si>
  <si>
    <t>Starter $10 / Basic $50 / Pro $300 / Adv $750 / Ent: talk to sales</t>
  </si>
  <si>
    <t>$1.00/resolved conversation ($0.90 annual)</t>
  </si>
  <si>
    <t>Resolved conversation</t>
  </si>
  <si>
    <t>0</t>
  </si>
  <si>
    <t>Vendor pricing page, 24 Feb 2026</t>
  </si>
  <si>
    <t>Intercom</t>
  </si>
  <si>
    <t>Per-seat + per-resolution</t>
  </si>
  <si>
    <t>Essential $29 / Advanced $99 / Expert $132 per seat/mo</t>
  </si>
  <si>
    <t>$0.99/resolution</t>
  </si>
  <si>
    <t>Resolution (confirmed or assumed)</t>
  </si>
  <si>
    <t>0 in platform seat plans</t>
  </si>
  <si>
    <t>Zendesk</t>
  </si>
  <si>
    <t>Per-seat + AI add-on + per-AR</t>
  </si>
  <si>
    <t>Suite Professional $115/agent/mo</t>
  </si>
  <si>
    <t>$50/agent Advanced AI add-on + $1.50/AR (committed) or $2.00/AR (PAYG)</t>
  </si>
  <si>
    <t>Automated Resolution</t>
  </si>
  <si>
    <t>Plan-dependent (not publicly specified)</t>
  </si>
  <si>
    <t>Tidio/Lyro</t>
  </si>
  <si>
    <t>Tiered subscription</t>
  </si>
  <si>
    <t>EUR</t>
  </si>
  <si>
    <t>Core €32.50/mo (50 AI convos) / Plus €749/mo / Premium: contact sales</t>
  </si>
  <si>
    <t>Included in plan tier</t>
  </si>
  <si>
    <t>AI conversation</t>
  </si>
  <si>
    <t>50 (Core) / custom (Plus/Premium)</t>
  </si>
  <si>
    <t>Freshdesk</t>
  </si>
  <si>
    <t>Per-seat + per-session add-on</t>
  </si>
  <si>
    <t>USD/EUR</t>
  </si>
  <si>
    <t>Growth $15 / Pro $49 / Enterprise $79 per agent/mo</t>
  </si>
  <si>
    <t>€45/100 sessions (€0.45/session)</t>
  </si>
  <si>
    <t>Session (any interaction, resolved or not)</t>
  </si>
  <si>
    <t>500 free sessions (Pro/Enterprise)</t>
  </si>
  <si>
    <t>Amazon Connect</t>
  </si>
  <si>
    <t>Per-message (usage-based)</t>
  </si>
  <si>
    <t>No seat cost - infrastructure pricing</t>
  </si>
  <si>
    <t>$0.01/message (Unlimited AI tier)</t>
  </si>
  <si>
    <t>Individual chat message</t>
  </si>
  <si>
    <t>N/A - pure usage</t>
  </si>
  <si>
    <t>Hay</t>
  </si>
  <si>
    <t>Bundled resolutions in subscription</t>
  </si>
  <si>
    <t>No helpdesk base - AI-only platform</t>
  </si>
  <si>
    <t>Included: Solo €50/500 res, Starter €135/2000, Growth €725/20000, Ent €2725/100000</t>
  </si>
  <si>
    <t>Resolution (completed interaction)</t>
  </si>
  <si>
    <t>500–100,000 depending on plan</t>
  </si>
  <si>
    <t>HubSpot</t>
  </si>
  <si>
    <t>Per-seat + credit-based AI</t>
  </si>
  <si>
    <t>Starter $20 / Professional $100 / Enterprise $150 per seat/mo</t>
  </si>
  <si>
    <t>$1.00/conversation (100 credits × $0.01/credit)</t>
  </si>
  <si>
    <t>Conversation (credit-based)</t>
  </si>
  <si>
    <t>50 convos (Pro) / 100 convos (Ent) via included credits</t>
  </si>
  <si>
    <t>hubspot.com/pricing + knowledge.hubspot.com 24 Feb 2026</t>
  </si>
  <si>
    <t>Vendor(s)</t>
  </si>
  <si>
    <t>You Pay For</t>
  </si>
  <si>
    <t>You DON'T Pay For</t>
  </si>
  <si>
    <t>Predictability</t>
  </si>
  <si>
    <t>Risk</t>
  </si>
  <si>
    <t>Per-message</t>
  </si>
  <si>
    <t>Every message sent (customer + bot + agent)</t>
  </si>
  <si>
    <t>N/A - all messages counted</t>
  </si>
  <si>
    <t>LOW - costs scale with conversation length, not outcomes</t>
  </si>
  <si>
    <t>Chatty customers = higher bills. No cost ceiling per conversation.</t>
  </si>
  <si>
    <t>Per-session</t>
  </si>
  <si>
    <t>Freshdesk (Freddy AI)</t>
  </si>
  <si>
    <t>Any customer interaction in 24hr window</t>
  </si>
  <si>
    <t>Only successful resolutions</t>
  </si>
  <si>
    <t>LOW - you pay whether AI resolves the issue or not</t>
  </si>
  <si>
    <t>Failed AI attempts still cost money. Effective cost per resolution depends entirely on AI success rate.</t>
  </si>
  <si>
    <t>Per-resolved-conversation</t>
  </si>
  <si>
    <t>Gorgias, Intercom Fin</t>
  </si>
  <si>
    <t>Each conversation the AI successfully resolves</t>
  </si>
  <si>
    <t>Failed attempts, human-handled tickets</t>
  </si>
  <si>
    <t>MEDIUM - cost scales linearly with AI success, no bundled allowance</t>
  </si>
  <si>
    <t>Better AI = higher bills. No cost ceiling. Merchants report unpredictable month-to-month variation.</t>
  </si>
  <si>
    <t>Per-seat + AI add-on</t>
  </si>
  <si>
    <t>Agent seat license + per-resolution AI fee</t>
  </si>
  <si>
    <t>N/A - double billing structure</t>
  </si>
  <si>
    <t>LOW - two variable cost axes (team size AND AI volume)</t>
  </si>
  <si>
    <t>Most complex to model. Add-on stacking can triple base seat cost.</t>
  </si>
  <si>
    <t>Bundled resolutions</t>
  </si>
  <si>
    <t>Fixed monthly fee with included resolution allowance</t>
  </si>
  <si>
    <t>Overage only charged above plan ceiling</t>
  </si>
  <si>
    <t>HIGH - know your maximum cost before the month starts</t>
  </si>
  <si>
    <t>May overpay if volume is well below plan ceiling. Requires existing helpdesk underneath.</t>
  </si>
  <si>
    <t>HubSpot (Breeze)</t>
  </si>
  <si>
    <t>Agent seat license + credits consumed per AI conversation</t>
  </si>
  <si>
    <t>N/A - double billing (seat + credits)</t>
  </si>
  <si>
    <t>LOW - credit system obscures per-conversation cost ($1.00 buried behind 100-credit abstraction)</t>
  </si>
  <si>
    <t>Credits shared across ALL Breeze features (prospecting, data, content). Heavy AI agent use competes with other AI features for same credit pool.</t>
  </si>
  <si>
    <t>MODEL INPUTS (yellow cells are editable)</t>
  </si>
  <si>
    <t>AI Resolution Rate</t>
  </si>
  <si>
    <t>Freshdesk Session Multiplier</t>
  </si>
  <si>
    <t>Zendesk Advanced AI Add-on ($/agent/mo)</t>
  </si>
  <si>
    <t>Zendesk AR Rate - committed ($/resolution)</t>
  </si>
  <si>
    <t>Intercom plan used</t>
  </si>
  <si>
    <t>Advanced ($99/seat)</t>
  </si>
  <si>
    <t>Gorgias overage rate per 100 tickets</t>
  </si>
  <si>
    <t>$0.36–0.40</t>
  </si>
  <si>
    <t>WHY THIS IS ADJUSTABLE: Vendors quote AI resolution rates anywhere from 40% to 80%. In practice, the rate depends less on the platform and more on how well the AI has been set up - the quality of your instructions, playbooks, and knowledge base coverage. Change cell B2 above to model different rates. All cost columns update automatically. Freshdesk and Tidio will not change (they charge per session or flat fee, not per resolution).</t>
  </si>
  <si>
    <t>Gorgias ($)</t>
  </si>
  <si>
    <t>Intercom ($)</t>
  </si>
  <si>
    <t>Zendesk ($)</t>
  </si>
  <si>
    <t>Tidio (€)</t>
  </si>
  <si>
    <t>Freshdesk ($+€)</t>
  </si>
  <si>
    <t>Hay (€)</t>
  </si>
  <si>
    <t>HubSpot ($)</t>
  </si>
  <si>
    <t>#</t>
  </si>
  <si>
    <t>Tickets/mo</t>
  </si>
  <si>
    <t>Agents</t>
  </si>
  <si>
    <t>AI</t>
  </si>
  <si>
    <t>Base</t>
  </si>
  <si>
    <t>AI Cost</t>
  </si>
  <si>
    <t>Total</t>
  </si>
  <si>
    <t>Plan</t>
  </si>
  <si>
    <t>AI incl.</t>
  </si>
  <si>
    <t>Cheapest AI</t>
  </si>
  <si>
    <t>Effective $/res
(cheapest)</t>
  </si>
  <si>
    <t>On</t>
  </si>
  <si>
    <t>incl.</t>
  </si>
  <si>
    <t>Off</t>
  </si>
  <si>
    <t>N/A</t>
  </si>
  <si>
    <t>-</t>
  </si>
  <si>
    <t>TTS</t>
  </si>
  <si>
    <t>Gorgias AI ($)</t>
  </si>
  <si>
    <t>Intercom AI ($)</t>
  </si>
  <si>
    <t>Zendesk AI ($)</t>
  </si>
  <si>
    <t>Freshdesk AI (€)</t>
  </si>
  <si>
    <t>Hay AI (€)</t>
  </si>
  <si>
    <t>HubSpot AI ($)</t>
  </si>
  <si>
    <t>Hay vs Cheapest Alt.</t>
  </si>
  <si>
    <t>Amazon Connect Chat: Per-Message Cost at Scale</t>
  </si>
  <si>
    <t>Unlimited AI tier: $0.01 per message (customer, agent, or bot)</t>
  </si>
  <si>
    <t>Scenario</t>
  </si>
  <si>
    <t>Conversations/mo</t>
  </si>
  <si>
    <t>Avg msgs/convo</t>
  </si>
  <si>
    <t>Total messages</t>
  </si>
  <si>
    <t>Monthly cost</t>
  </si>
  <si>
    <t>Low vol, terse</t>
  </si>
  <si>
    <t>Low vol, avg</t>
  </si>
  <si>
    <t>Low vol, chatty</t>
  </si>
  <si>
    <t>Mid vol, terse</t>
  </si>
  <si>
    <t>Mid vol, avg</t>
  </si>
  <si>
    <t>Mid vol, chatty</t>
  </si>
  <si>
    <t>High vol, terse</t>
  </si>
  <si>
    <t>High vol, avg</t>
  </si>
  <si>
    <t>High vol, chatty</t>
  </si>
  <si>
    <t>V.high vol, terse</t>
  </si>
  <si>
    <t>V.high vol, avg</t>
  </si>
  <si>
    <t>V.high vol, chatty</t>
  </si>
  <si>
    <t>Amazon Connect is cloud infrastructure, not a finished helpdesk.</t>
  </si>
  <si>
    <t>Requires AWS expertise. Additional costs (S3, Lambda, Lex) not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</si>
</sst>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
    <numFmt numFmtId="166" formatCode="\$#,##0.00"/>
  </numFmts>
  <fonts count="15" x14ac:knownFonts="1">
    <font>
      <sz val="11"/>
      <color theme="1"/>
      <name val="Calibri"/>
      <family val="2"/>
      <charset val="1"/>
    </font>
    <font>
      <b/>
      <sz val="11"/>
      <name val="Arial"/>
      <family val="2"/>
      <charset val="1"/>
    </font>
    <font>
      <sz val="11"/>
      <name val="Arial"/>
      <family val="2"/>
      <charset val="1"/>
    </font>
    <font>
      <b/>
      <sz val="11"/>
      <color rgb="FFFFFFFF"/>
      <name val="Arial"/>
      <family val="2"/>
      <charset val="1"/>
    </font>
    <font>
      <sz val="10"/>
      <name val="Arial"/>
      <family val="2"/>
      <charset val="1"/>
    </font>
    <font>
      <i/>
      <sz val="9"/>
      <color rgb="FF666666"/>
      <name val="Arial"/>
      <family val="2"/>
      <charset val="1"/>
    </font>
    <font>
      <b/>
      <sz val="11"/>
      <name val="Calibri"/>
      <family val="2"/>
      <charset val="1"/>
    </font>
    <font>
      <b/>
      <sz val="12"/>
      <color rgb="FF000000"/>
      <name val="Calibri"/>
      <family val="2"/>
      <charset val="1"/>
    </font>
    <font>
      <sz val="10"/>
      <color rgb="FF0000FF"/>
      <name val="Arial"/>
      <family val="2"/>
      <charset val="1"/>
    </font>
    <font>
      <sz val="10"/>
      <color rgb="FF333333"/>
      <name val="Calibri"/>
      <family val="2"/>
      <charset val="1"/>
    </font>
    <font>
      <b/>
      <sz val="10"/>
      <color rgb="FFFFFFFF"/>
      <name val="Arial"/>
      <family val="2"/>
      <charset val="1"/>
    </font>
    <font>
      <b/>
      <sz val="9"/>
      <name val="Arial"/>
      <family val="2"/>
      <charset val="1"/>
    </font>
    <font>
      <b/>
      <sz val="10"/>
      <name val="Arial"/>
      <family val="2"/>
      <charset val="1"/>
    </font>
    <font>
      <b/>
      <sz val="12"/>
      <name val="Arial"/>
      <family val="2"/>
      <charset val="1"/>
    </font>
    <font>
      <sz val="10"/>
      <color rgb="FF000000"/>
      <name val="Arial"/>
      <family val="2"/>
    </font>
  </fonts>
  <fills count="9">
    <fill>
      <patternFill patternType="none"/>
    </fill>
    <fill>
      <patternFill patternType="gray125"/>
    </fill>
    <fill>
      <patternFill patternType="solid">
        <fgColor rgb="FF0F282C"/>
        <bgColor rgb="FF333333"/>
      </patternFill>
    </fill>
    <fill>
      <patternFill patternType="solid">
        <fgColor rgb="FFFFD700"/>
        <bgColor rgb="FFFFFF00"/>
      </patternFill>
    </fill>
    <fill>
      <patternFill patternType="solid">
        <fgColor rgb="FFFFFFCC"/>
        <bgColor rgb="FFFFF9C4"/>
      </patternFill>
    </fill>
    <fill>
      <patternFill patternType="solid">
        <fgColor rgb="FFE8E8E8"/>
        <bgColor rgb="FFD4E6F1"/>
      </patternFill>
    </fill>
    <fill>
      <patternFill patternType="solid">
        <fgColor rgb="FFD4E6F1"/>
        <bgColor rgb="FFE8E8E8"/>
      </patternFill>
    </fill>
    <fill>
      <patternFill patternType="solid">
        <fgColor rgb="FFD5F5E3"/>
        <bgColor rgb="FFD4E6F1"/>
      </patternFill>
    </fill>
    <fill>
      <patternFill patternType="solid">
        <fgColor rgb="FFFFF9C4"/>
        <bgColor rgb="FFFFFFCC"/>
      </patternFill>
    </fill>
  </fills>
  <borders count="3">
    <border>
      <left/>
      <right/>
      <top/>
      <bottom/>
      <diagonal/>
    </border>
    <border>
      <left/>
      <right style="thin">
        <color rgb="FFCCCCCC"/>
      </right>
      <top/>
      <bottom style="thin">
        <color rgb="FFCCCCCC"/>
      </bottom>
      <diagonal/>
    </border>
    <border>
      <left style="thin">
        <color auto="1"/>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1" fillId="0" borderId="0" xfId="0" applyFont="1"/>
    <xf numFmtId="0" fontId="2" fillId="0" borderId="0" xfId="0" applyFont="1"/>
    <xf numFmtId="0" fontId="2" fillId="0" borderId="0" xfId="0" applyFont="1" applyAlignment="1">
      <alignment wrapText="1"/>
    </xf>
    <xf numFmtId="0" fontId="3" fillId="2" borderId="0" xfId="0" applyFont="1" applyFill="1" applyAlignment="1">
      <alignment horizontal="center" wrapText="1"/>
    </xf>
    <xf numFmtId="0" fontId="4" fillId="0" borderId="1" xfId="0" applyFont="1" applyBorder="1" applyAlignment="1">
      <alignment vertical="top" wrapText="1"/>
    </xf>
    <xf numFmtId="0" fontId="5" fillId="0" borderId="0" xfId="0" applyFont="1"/>
    <xf numFmtId="0" fontId="6" fillId="0" borderId="0" xfId="0" applyFont="1"/>
    <xf numFmtId="0" fontId="6" fillId="0" borderId="0" xfId="0" applyFont="1" applyAlignment="1">
      <alignment wrapText="1"/>
    </xf>
    <xf numFmtId="9" fontId="7" fillId="3" borderId="2" xfId="0" applyNumberFormat="1" applyFont="1" applyFill="1" applyBorder="1"/>
    <xf numFmtId="0" fontId="4" fillId="0" borderId="0" xfId="0" applyFont="1" applyAlignment="1">
      <alignment wrapText="1"/>
    </xf>
    <xf numFmtId="0" fontId="8" fillId="4" borderId="2" xfId="0" applyFont="1" applyFill="1" applyBorder="1"/>
    <xf numFmtId="0" fontId="8" fillId="0" borderId="0" xfId="0" applyFont="1"/>
    <xf numFmtId="0" fontId="10" fillId="2" borderId="0" xfId="0" applyFont="1" applyFill="1" applyAlignment="1">
      <alignment horizontal="center"/>
    </xf>
    <xf numFmtId="0" fontId="0" fillId="2" borderId="0" xfId="0" applyFill="1"/>
    <xf numFmtId="0" fontId="3" fillId="2" borderId="0" xfId="0" applyFont="1" applyFill="1" applyAlignment="1">
      <alignment horizontal="center"/>
    </xf>
    <xf numFmtId="0" fontId="11" fillId="0" borderId="0" xfId="0" applyFont="1" applyAlignment="1">
      <alignment horizontal="center" wrapText="1"/>
    </xf>
    <xf numFmtId="0" fontId="11" fillId="5" borderId="0" xfId="0" applyFont="1" applyFill="1" applyAlignment="1">
      <alignment horizontal="center" wrapText="1"/>
    </xf>
    <xf numFmtId="0" fontId="11" fillId="6" borderId="0" xfId="0" applyFont="1" applyFill="1" applyAlignment="1">
      <alignment horizontal="center" wrapText="1"/>
    </xf>
    <xf numFmtId="0" fontId="11" fillId="7" borderId="0" xfId="0" applyFont="1" applyFill="1" applyAlignment="1">
      <alignment horizontal="center" wrapText="1"/>
    </xf>
    <xf numFmtId="0" fontId="4" fillId="0" borderId="0" xfId="0" applyFont="1"/>
    <xf numFmtId="3" fontId="4" fillId="0" borderId="0" xfId="0" applyNumberFormat="1" applyFont="1"/>
    <xf numFmtId="164" fontId="4" fillId="0" borderId="0" xfId="0" applyNumberFormat="1" applyFont="1"/>
    <xf numFmtId="165" fontId="4" fillId="0" borderId="0" xfId="0" applyNumberFormat="1" applyFont="1"/>
    <xf numFmtId="165" fontId="4" fillId="8" borderId="0" xfId="0" applyNumberFormat="1" applyFont="1" applyFill="1"/>
    <xf numFmtId="0" fontId="11" fillId="0" borderId="0" xfId="0" applyFont="1"/>
    <xf numFmtId="166" fontId="0" fillId="0" borderId="0" xfId="0" applyNumberFormat="1"/>
    <xf numFmtId="0" fontId="12" fillId="0" borderId="0" xfId="0" applyFont="1"/>
    <xf numFmtId="0" fontId="13" fillId="0" borderId="0" xfId="0" applyFont="1"/>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FCC"/>
      <rgbColor rgb="FFD4E6F1"/>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8E8E8"/>
      <rgbColor rgb="FFD5F5E3"/>
      <rgbColor rgb="FFFFF9C4"/>
      <rgbColor rgb="FF99CCFF"/>
      <rgbColor rgb="FFFF99CC"/>
      <rgbColor rgb="FFCC99FF"/>
      <rgbColor rgb="FFFFCC99"/>
      <rgbColor rgb="FF3366FF"/>
      <rgbColor rgb="FF33CCCC"/>
      <rgbColor rgb="FF99CC00"/>
      <rgbColor rgb="FFFFD700"/>
      <rgbColor rgb="FFFF9900"/>
      <rgbColor rgb="FFFF6600"/>
      <rgbColor rgb="FF666666"/>
      <rgbColor rgb="FF969696"/>
      <rgbColor rgb="FF003366"/>
      <rgbColor rgb="FF339966"/>
      <rgbColor rgb="FF0F282C"/>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3"/>
  <sheetViews>
    <sheetView zoomScaleNormal="100" workbookViewId="0"/>
  </sheetViews>
  <sheetFormatPr baseColWidth="10" defaultColWidth="8.83203125" defaultRowHeight="15" x14ac:dyDescent="0.2"/>
  <cols>
    <col min="1" max="1" width="90" customWidth="1"/>
  </cols>
  <sheetData>
    <row r="1" spans="1:1" ht="15" customHeight="1" x14ac:dyDescent="0.2">
      <c r="A1" s="1" t="s">
        <v>0</v>
      </c>
    </row>
    <row r="2" spans="1:1" ht="15" customHeight="1" x14ac:dyDescent="0.2">
      <c r="A2" s="2"/>
    </row>
    <row r="3" spans="1:1" ht="15" customHeight="1" x14ac:dyDescent="0.2">
      <c r="A3" s="1" t="s">
        <v>1</v>
      </c>
    </row>
    <row r="4" spans="1:1" ht="15" customHeight="1" x14ac:dyDescent="0.2">
      <c r="A4" s="2" t="s">
        <v>2</v>
      </c>
    </row>
    <row r="5" spans="1:1" ht="15" customHeight="1" x14ac:dyDescent="0.2">
      <c r="A5" s="2"/>
    </row>
    <row r="6" spans="1:1" ht="15" customHeight="1" x14ac:dyDescent="0.2">
      <c r="A6" s="2" t="s">
        <v>3</v>
      </c>
    </row>
    <row r="7" spans="1:1" ht="15" customHeight="1" x14ac:dyDescent="0.2">
      <c r="A7" s="2" t="s">
        <v>4</v>
      </c>
    </row>
    <row r="8" spans="1:1" ht="15" customHeight="1" x14ac:dyDescent="0.2">
      <c r="A8" s="2" t="s">
        <v>5</v>
      </c>
    </row>
    <row r="9" spans="1:1" ht="15" customHeight="1" x14ac:dyDescent="0.2">
      <c r="A9" s="2" t="s">
        <v>6</v>
      </c>
    </row>
    <row r="10" spans="1:1" ht="15" customHeight="1" x14ac:dyDescent="0.2">
      <c r="A10" s="2"/>
    </row>
    <row r="11" spans="1:1" ht="15" customHeight="1" x14ac:dyDescent="0.2">
      <c r="A11" s="2" t="s">
        <v>7</v>
      </c>
    </row>
    <row r="12" spans="1:1" ht="15" customHeight="1" x14ac:dyDescent="0.2">
      <c r="A12" s="2" t="s">
        <v>8</v>
      </c>
    </row>
    <row r="13" spans="1:1" ht="15" customHeight="1" x14ac:dyDescent="0.2">
      <c r="A13" s="2"/>
    </row>
    <row r="14" spans="1:1" ht="15" customHeight="1" x14ac:dyDescent="0.2">
      <c r="A14" s="1" t="s">
        <v>9</v>
      </c>
    </row>
    <row r="15" spans="1:1" ht="15" customHeight="1" x14ac:dyDescent="0.2">
      <c r="A15" s="2" t="s">
        <v>10</v>
      </c>
    </row>
    <row r="16" spans="1:1" ht="15" customHeight="1" x14ac:dyDescent="0.2">
      <c r="A16" s="2" t="s">
        <v>11</v>
      </c>
    </row>
    <row r="17" spans="1:1" ht="15" customHeight="1" x14ac:dyDescent="0.2">
      <c r="A17" s="2" t="s">
        <v>12</v>
      </c>
    </row>
    <row r="18" spans="1:1" ht="15" customHeight="1" x14ac:dyDescent="0.2">
      <c r="A18" s="2" t="s">
        <v>13</v>
      </c>
    </row>
    <row r="19" spans="1:1" ht="15" customHeight="1" x14ac:dyDescent="0.2">
      <c r="A19" s="2"/>
    </row>
    <row r="20" spans="1:1" ht="15" customHeight="1" x14ac:dyDescent="0.2">
      <c r="A20" s="1" t="s">
        <v>14</v>
      </c>
    </row>
    <row r="21" spans="1:1" ht="60.75" customHeight="1" x14ac:dyDescent="0.2">
      <c r="A21" s="3" t="s">
        <v>15</v>
      </c>
    </row>
    <row r="22" spans="1:1" ht="15" customHeight="1" x14ac:dyDescent="0.2">
      <c r="A22" s="2" t="s">
        <v>16</v>
      </c>
    </row>
    <row r="23" spans="1:1" ht="15" customHeight="1" x14ac:dyDescent="0.2">
      <c r="A23" s="2" t="s">
        <v>17</v>
      </c>
    </row>
    <row r="24" spans="1:1" ht="15" customHeight="1" x14ac:dyDescent="0.2">
      <c r="A24" s="2" t="s">
        <v>18</v>
      </c>
    </row>
    <row r="25" spans="1:1" ht="15" customHeight="1" x14ac:dyDescent="0.2">
      <c r="A25" s="2" t="s">
        <v>19</v>
      </c>
    </row>
    <row r="26" spans="1:1" ht="15" customHeight="1" x14ac:dyDescent="0.2">
      <c r="A26" s="2" t="s">
        <v>20</v>
      </c>
    </row>
    <row r="27" spans="1:1" ht="15" customHeight="1" x14ac:dyDescent="0.2">
      <c r="A27" s="2" t="s">
        <v>21</v>
      </c>
    </row>
    <row r="28" spans="1:1" ht="15" customHeight="1" x14ac:dyDescent="0.2">
      <c r="A28" s="2" t="s">
        <v>22</v>
      </c>
    </row>
    <row r="29" spans="1:1" ht="75.75" customHeight="1" x14ac:dyDescent="0.2">
      <c r="A29" s="3" t="s">
        <v>23</v>
      </c>
    </row>
    <row r="30" spans="1:1" ht="15" customHeight="1" x14ac:dyDescent="0.2">
      <c r="A30" s="1" t="s">
        <v>24</v>
      </c>
    </row>
    <row r="31" spans="1:1" ht="15" customHeight="1" x14ac:dyDescent="0.2">
      <c r="A31" s="2" t="s">
        <v>25</v>
      </c>
    </row>
    <row r="32" spans="1:1" ht="15" customHeight="1" x14ac:dyDescent="0.2">
      <c r="A32" s="2" t="s">
        <v>26</v>
      </c>
    </row>
    <row r="33" spans="1:1" ht="15" customHeight="1" x14ac:dyDescent="0.2">
      <c r="A33" s="2" t="s">
        <v>27</v>
      </c>
    </row>
    <row r="34" spans="1:1" ht="15" customHeight="1" x14ac:dyDescent="0.2">
      <c r="A34" s="2"/>
    </row>
    <row r="35" spans="1:1" ht="15" customHeight="1" x14ac:dyDescent="0.2">
      <c r="A35" s="1" t="s">
        <v>28</v>
      </c>
    </row>
    <row r="36" spans="1:1" ht="15" customHeight="1" x14ac:dyDescent="0.2">
      <c r="A36" s="2" t="s">
        <v>29</v>
      </c>
    </row>
    <row r="37" spans="1:1" ht="15" customHeight="1" x14ac:dyDescent="0.2">
      <c r="A37" s="2" t="s">
        <v>30</v>
      </c>
    </row>
    <row r="38" spans="1:1" ht="15" customHeight="1" x14ac:dyDescent="0.2">
      <c r="A38" s="2" t="s">
        <v>31</v>
      </c>
    </row>
    <row r="39" spans="1:1" ht="15" customHeight="1" x14ac:dyDescent="0.2">
      <c r="A39" s="2" t="s">
        <v>32</v>
      </c>
    </row>
    <row r="40" spans="1:1" ht="15" customHeight="1" x14ac:dyDescent="0.2">
      <c r="A40" s="2"/>
    </row>
    <row r="41" spans="1:1" ht="15" customHeight="1" x14ac:dyDescent="0.2">
      <c r="A41" s="1" t="s">
        <v>33</v>
      </c>
    </row>
    <row r="42" spans="1:1" ht="15" customHeight="1" x14ac:dyDescent="0.2">
      <c r="A42" s="2" t="s">
        <v>34</v>
      </c>
    </row>
    <row r="43" spans="1:1" ht="15" customHeight="1" x14ac:dyDescent="0.2">
      <c r="A43" s="2" t="s">
        <v>35</v>
      </c>
    </row>
    <row r="44" spans="1:1" ht="15" customHeight="1" x14ac:dyDescent="0.2">
      <c r="A44" s="2" t="s">
        <v>36</v>
      </c>
    </row>
    <row r="45" spans="1:1" ht="15" customHeight="1" x14ac:dyDescent="0.2">
      <c r="A45" s="2" t="s">
        <v>37</v>
      </c>
    </row>
    <row r="46" spans="1:1" ht="15" customHeight="1" x14ac:dyDescent="0.2">
      <c r="A46" s="2" t="s">
        <v>38</v>
      </c>
    </row>
    <row r="47" spans="1:1" ht="15" customHeight="1" x14ac:dyDescent="0.2">
      <c r="A47" s="2" t="s">
        <v>39</v>
      </c>
    </row>
    <row r="48" spans="1:1" ht="15" customHeight="1" x14ac:dyDescent="0.2">
      <c r="A48" s="2"/>
    </row>
    <row r="49" spans="1:1" ht="15" customHeight="1" x14ac:dyDescent="0.2">
      <c r="A49" s="1" t="s">
        <v>40</v>
      </c>
    </row>
    <row r="50" spans="1:1" ht="15" customHeight="1" x14ac:dyDescent="0.2">
      <c r="A50" s="2" t="s">
        <v>41</v>
      </c>
    </row>
    <row r="51" spans="1:1" ht="15" customHeight="1" x14ac:dyDescent="0.2">
      <c r="A51" s="2" t="s">
        <v>42</v>
      </c>
    </row>
    <row r="52" spans="1:1" ht="15" customHeight="1" x14ac:dyDescent="0.2">
      <c r="A52" s="2" t="s">
        <v>43</v>
      </c>
    </row>
    <row r="53" spans="1:1" ht="15" customHeight="1" x14ac:dyDescent="0.2">
      <c r="A53" s="2" t="s">
        <v>44</v>
      </c>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
  <sheetViews>
    <sheetView zoomScaleNormal="100" workbookViewId="0">
      <selection activeCell="F19" sqref="F19"/>
    </sheetView>
  </sheetViews>
  <sheetFormatPr baseColWidth="10" defaultColWidth="8.83203125" defaultRowHeight="15" x14ac:dyDescent="0.2"/>
  <cols>
    <col min="1" max="7" width="22" customWidth="1"/>
    <col min="8" max="8" width="26.5" customWidth="1"/>
  </cols>
  <sheetData>
    <row r="1" spans="1:8" ht="30.75" customHeight="1" x14ac:dyDescent="0.2">
      <c r="A1" s="4" t="s">
        <v>45</v>
      </c>
      <c r="B1" s="4" t="s">
        <v>46</v>
      </c>
      <c r="C1" s="4" t="s">
        <v>47</v>
      </c>
      <c r="D1" s="4" t="s">
        <v>48</v>
      </c>
      <c r="E1" s="4" t="s">
        <v>49</v>
      </c>
      <c r="F1" s="4" t="s">
        <v>50</v>
      </c>
      <c r="G1" s="4" t="s">
        <v>51</v>
      </c>
      <c r="H1" s="4" t="s">
        <v>52</v>
      </c>
    </row>
    <row r="2" spans="1:8" ht="42" customHeight="1" x14ac:dyDescent="0.2">
      <c r="A2" s="5" t="s">
        <v>53</v>
      </c>
      <c r="B2" s="5" t="s">
        <v>54</v>
      </c>
      <c r="C2" s="5" t="s">
        <v>55</v>
      </c>
      <c r="D2" s="5" t="s">
        <v>56</v>
      </c>
      <c r="E2" s="5" t="s">
        <v>57</v>
      </c>
      <c r="F2" s="5" t="s">
        <v>58</v>
      </c>
      <c r="G2" s="5" t="s">
        <v>59</v>
      </c>
      <c r="H2" s="6" t="s">
        <v>60</v>
      </c>
    </row>
    <row r="3" spans="1:8" ht="42" customHeight="1" x14ac:dyDescent="0.2">
      <c r="A3" s="5" t="s">
        <v>61</v>
      </c>
      <c r="B3" s="5" t="s">
        <v>62</v>
      </c>
      <c r="C3" s="5" t="s">
        <v>55</v>
      </c>
      <c r="D3" s="5" t="s">
        <v>63</v>
      </c>
      <c r="E3" s="5" t="s">
        <v>64</v>
      </c>
      <c r="F3" s="5" t="s">
        <v>65</v>
      </c>
      <c r="G3" s="5" t="s">
        <v>66</v>
      </c>
      <c r="H3" s="6" t="s">
        <v>60</v>
      </c>
    </row>
    <row r="4" spans="1:8" ht="55.5" customHeight="1" x14ac:dyDescent="0.2">
      <c r="A4" s="5" t="s">
        <v>67</v>
      </c>
      <c r="B4" s="5" t="s">
        <v>68</v>
      </c>
      <c r="C4" s="5" t="s">
        <v>55</v>
      </c>
      <c r="D4" s="5" t="s">
        <v>69</v>
      </c>
      <c r="E4" s="5" t="s">
        <v>70</v>
      </c>
      <c r="F4" s="5" t="s">
        <v>71</v>
      </c>
      <c r="G4" s="5" t="s">
        <v>72</v>
      </c>
      <c r="H4" s="6" t="s">
        <v>60</v>
      </c>
    </row>
    <row r="5" spans="1:8" ht="42" customHeight="1" x14ac:dyDescent="0.2">
      <c r="A5" s="5" t="s">
        <v>73</v>
      </c>
      <c r="B5" s="5" t="s">
        <v>74</v>
      </c>
      <c r="C5" s="5" t="s">
        <v>75</v>
      </c>
      <c r="D5" s="5" t="s">
        <v>76</v>
      </c>
      <c r="E5" s="5" t="s">
        <v>77</v>
      </c>
      <c r="F5" s="5" t="s">
        <v>78</v>
      </c>
      <c r="G5" s="5" t="s">
        <v>79</v>
      </c>
      <c r="H5" s="6" t="s">
        <v>60</v>
      </c>
    </row>
    <row r="6" spans="1:8" ht="42" customHeight="1" x14ac:dyDescent="0.2">
      <c r="A6" s="5" t="s">
        <v>80</v>
      </c>
      <c r="B6" s="5" t="s">
        <v>81</v>
      </c>
      <c r="C6" s="5" t="s">
        <v>82</v>
      </c>
      <c r="D6" s="5" t="s">
        <v>83</v>
      </c>
      <c r="E6" s="5" t="s">
        <v>84</v>
      </c>
      <c r="F6" s="5" t="s">
        <v>85</v>
      </c>
      <c r="G6" s="5" t="s">
        <v>86</v>
      </c>
      <c r="H6" s="6" t="s">
        <v>60</v>
      </c>
    </row>
    <row r="7" spans="1:8" ht="27.75" customHeight="1" x14ac:dyDescent="0.2">
      <c r="A7" s="5" t="s">
        <v>87</v>
      </c>
      <c r="B7" s="5" t="s">
        <v>88</v>
      </c>
      <c r="C7" s="5" t="s">
        <v>55</v>
      </c>
      <c r="D7" s="5" t="s">
        <v>89</v>
      </c>
      <c r="E7" s="5" t="s">
        <v>90</v>
      </c>
      <c r="F7" s="5" t="s">
        <v>91</v>
      </c>
      <c r="G7" s="5" t="s">
        <v>92</v>
      </c>
      <c r="H7" s="6" t="s">
        <v>60</v>
      </c>
    </row>
    <row r="8" spans="1:8" ht="55.5" customHeight="1" x14ac:dyDescent="0.2">
      <c r="A8" s="5" t="s">
        <v>93</v>
      </c>
      <c r="B8" s="5" t="s">
        <v>94</v>
      </c>
      <c r="C8" s="5" t="s">
        <v>75</v>
      </c>
      <c r="D8" s="5" t="s">
        <v>95</v>
      </c>
      <c r="E8" s="5" t="s">
        <v>96</v>
      </c>
      <c r="F8" s="5" t="s">
        <v>97</v>
      </c>
      <c r="G8" s="5" t="s">
        <v>98</v>
      </c>
      <c r="H8" s="6" t="s">
        <v>60</v>
      </c>
    </row>
    <row r="9" spans="1:8" ht="42" customHeight="1" x14ac:dyDescent="0.2">
      <c r="A9" s="5" t="s">
        <v>99</v>
      </c>
      <c r="B9" s="5" t="s">
        <v>100</v>
      </c>
      <c r="C9" s="5" t="s">
        <v>55</v>
      </c>
      <c r="D9" s="5" t="s">
        <v>101</v>
      </c>
      <c r="E9" s="5" t="s">
        <v>102</v>
      </c>
      <c r="F9" s="5" t="s">
        <v>103</v>
      </c>
      <c r="G9" s="5" t="s">
        <v>104</v>
      </c>
      <c r="H9" s="5" t="s">
        <v>105</v>
      </c>
    </row>
  </sheetData>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
  <sheetViews>
    <sheetView zoomScaleNormal="100" workbookViewId="0"/>
  </sheetViews>
  <sheetFormatPr baseColWidth="10" defaultColWidth="8.83203125" defaultRowHeight="15" x14ac:dyDescent="0.2"/>
  <cols>
    <col min="1" max="6" width="25" customWidth="1"/>
  </cols>
  <sheetData>
    <row r="1" spans="1:6" ht="15.75" customHeight="1" x14ac:dyDescent="0.2">
      <c r="A1" s="4" t="s">
        <v>46</v>
      </c>
      <c r="B1" s="4" t="s">
        <v>106</v>
      </c>
      <c r="C1" s="4" t="s">
        <v>107</v>
      </c>
      <c r="D1" s="4" t="s">
        <v>108</v>
      </c>
      <c r="E1" s="4" t="s">
        <v>109</v>
      </c>
      <c r="F1" s="4" t="s">
        <v>110</v>
      </c>
    </row>
    <row r="2" spans="1:6" ht="42" customHeight="1" x14ac:dyDescent="0.2">
      <c r="A2" s="5" t="s">
        <v>111</v>
      </c>
      <c r="B2" s="5" t="s">
        <v>87</v>
      </c>
      <c r="C2" s="5" t="s">
        <v>112</v>
      </c>
      <c r="D2" s="5" t="s">
        <v>113</v>
      </c>
      <c r="E2" s="5" t="s">
        <v>114</v>
      </c>
      <c r="F2" s="5" t="s">
        <v>115</v>
      </c>
    </row>
    <row r="3" spans="1:6" ht="55.5" customHeight="1" x14ac:dyDescent="0.2">
      <c r="A3" s="5" t="s">
        <v>116</v>
      </c>
      <c r="B3" s="5" t="s">
        <v>117</v>
      </c>
      <c r="C3" s="5" t="s">
        <v>118</v>
      </c>
      <c r="D3" s="5" t="s">
        <v>119</v>
      </c>
      <c r="E3" s="5" t="s">
        <v>120</v>
      </c>
      <c r="F3" s="5" t="s">
        <v>121</v>
      </c>
    </row>
    <row r="4" spans="1:6" ht="55.5" customHeight="1" x14ac:dyDescent="0.2">
      <c r="A4" s="5" t="s">
        <v>122</v>
      </c>
      <c r="B4" s="5" t="s">
        <v>123</v>
      </c>
      <c r="C4" s="5" t="s">
        <v>124</v>
      </c>
      <c r="D4" s="5" t="s">
        <v>125</v>
      </c>
      <c r="E4" s="5" t="s">
        <v>126</v>
      </c>
      <c r="F4" s="5" t="s">
        <v>127</v>
      </c>
    </row>
    <row r="5" spans="1:6" ht="42" customHeight="1" x14ac:dyDescent="0.2">
      <c r="A5" s="5" t="s">
        <v>128</v>
      </c>
      <c r="B5" s="5" t="s">
        <v>67</v>
      </c>
      <c r="C5" s="5" t="s">
        <v>129</v>
      </c>
      <c r="D5" s="5" t="s">
        <v>130</v>
      </c>
      <c r="E5" s="5" t="s">
        <v>131</v>
      </c>
      <c r="F5" s="5" t="s">
        <v>132</v>
      </c>
    </row>
    <row r="6" spans="1:6" ht="42" customHeight="1" x14ac:dyDescent="0.2">
      <c r="A6" s="5" t="s">
        <v>133</v>
      </c>
      <c r="B6" s="5" t="s">
        <v>93</v>
      </c>
      <c r="C6" s="5" t="s">
        <v>134</v>
      </c>
      <c r="D6" s="5" t="s">
        <v>135</v>
      </c>
      <c r="E6" s="5" t="s">
        <v>136</v>
      </c>
      <c r="F6" s="5" t="s">
        <v>137</v>
      </c>
    </row>
    <row r="7" spans="1:6" ht="84" customHeight="1" x14ac:dyDescent="0.2">
      <c r="A7" s="5" t="s">
        <v>100</v>
      </c>
      <c r="B7" s="5" t="s">
        <v>138</v>
      </c>
      <c r="C7" s="5" t="s">
        <v>139</v>
      </c>
      <c r="D7" s="5" t="s">
        <v>140</v>
      </c>
      <c r="E7" s="5" t="s">
        <v>141</v>
      </c>
      <c r="F7" s="5" t="s">
        <v>142</v>
      </c>
    </row>
  </sheetData>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55"/>
  <sheetViews>
    <sheetView zoomScale="75" zoomScaleNormal="100" workbookViewId="0">
      <selection activeCell="H5" sqref="H5"/>
    </sheetView>
  </sheetViews>
  <sheetFormatPr baseColWidth="10" defaultColWidth="8.83203125" defaultRowHeight="15" x14ac:dyDescent="0.2"/>
  <cols>
    <col min="1" max="1" width="15.33203125" customWidth="1"/>
    <col min="2" max="2" width="10" customWidth="1"/>
    <col min="3" max="4" width="8" customWidth="1"/>
    <col min="5" max="26" width="12" customWidth="1"/>
  </cols>
  <sheetData>
    <row r="1" spans="1:26" ht="15" customHeight="1" x14ac:dyDescent="0.2">
      <c r="A1" s="7" t="s">
        <v>143</v>
      </c>
    </row>
    <row r="2" spans="1:26" ht="15.75" customHeight="1" x14ac:dyDescent="0.2">
      <c r="A2" s="8" t="s">
        <v>144</v>
      </c>
      <c r="B2" s="9">
        <v>0.5</v>
      </c>
    </row>
    <row r="3" spans="1:26" ht="28.5" customHeight="1" x14ac:dyDescent="0.2">
      <c r="A3" s="10" t="s">
        <v>145</v>
      </c>
      <c r="B3" s="11">
        <v>1.2</v>
      </c>
    </row>
    <row r="4" spans="1:26" ht="42.75" customHeight="1" x14ac:dyDescent="0.2">
      <c r="A4" s="10" t="s">
        <v>146</v>
      </c>
      <c r="B4" s="11">
        <v>50</v>
      </c>
    </row>
    <row r="5" spans="1:26" ht="42.75" customHeight="1" x14ac:dyDescent="0.2">
      <c r="A5" s="10" t="s">
        <v>147</v>
      </c>
      <c r="B5" s="11">
        <v>1.5</v>
      </c>
    </row>
    <row r="6" spans="1:26" ht="28.5" customHeight="1" x14ac:dyDescent="0.2">
      <c r="A6" s="10" t="s">
        <v>148</v>
      </c>
      <c r="B6" s="12" t="s">
        <v>149</v>
      </c>
    </row>
    <row r="7" spans="1:26" ht="42" customHeight="1" x14ac:dyDescent="0.2">
      <c r="A7" s="10" t="s">
        <v>150</v>
      </c>
      <c r="B7" s="12" t="s">
        <v>151</v>
      </c>
    </row>
    <row r="8" spans="1:26" ht="232" customHeight="1" x14ac:dyDescent="0.2">
      <c r="A8" s="29" t="s">
        <v>152</v>
      </c>
      <c r="B8" s="29"/>
    </row>
    <row r="10" spans="1:26" ht="15" customHeight="1" x14ac:dyDescent="0.2">
      <c r="E10" s="13" t="s">
        <v>153</v>
      </c>
      <c r="F10" s="14"/>
      <c r="G10" s="14"/>
      <c r="H10" s="13" t="s">
        <v>154</v>
      </c>
      <c r="I10" s="14"/>
      <c r="J10" s="14"/>
      <c r="K10" s="13" t="s">
        <v>155</v>
      </c>
      <c r="L10" s="14"/>
      <c r="M10" s="14"/>
      <c r="N10" s="13" t="s">
        <v>156</v>
      </c>
      <c r="O10" s="14"/>
      <c r="P10" s="14"/>
      <c r="Q10" s="13" t="s">
        <v>157</v>
      </c>
      <c r="R10" s="14"/>
      <c r="S10" s="14"/>
      <c r="T10" s="13" t="s">
        <v>158</v>
      </c>
      <c r="U10" s="14"/>
      <c r="V10" s="15" t="s">
        <v>159</v>
      </c>
      <c r="W10" s="14"/>
      <c r="X10" s="14"/>
    </row>
    <row r="11" spans="1:26" ht="27" customHeight="1" x14ac:dyDescent="0.2">
      <c r="A11" s="16" t="s">
        <v>160</v>
      </c>
      <c r="B11" s="16" t="s">
        <v>161</v>
      </c>
      <c r="C11" s="16" t="s">
        <v>162</v>
      </c>
      <c r="D11" s="16" t="s">
        <v>163</v>
      </c>
      <c r="E11" s="17" t="s">
        <v>164</v>
      </c>
      <c r="F11" s="18" t="s">
        <v>165</v>
      </c>
      <c r="G11" s="19" t="s">
        <v>166</v>
      </c>
      <c r="H11" s="17" t="s">
        <v>164</v>
      </c>
      <c r="I11" s="18" t="s">
        <v>165</v>
      </c>
      <c r="J11" s="19" t="s">
        <v>166</v>
      </c>
      <c r="K11" s="17" t="s">
        <v>164</v>
      </c>
      <c r="L11" s="18" t="s">
        <v>165</v>
      </c>
      <c r="M11" s="19" t="s">
        <v>166</v>
      </c>
      <c r="N11" s="17" t="s">
        <v>167</v>
      </c>
      <c r="O11" s="18" t="s">
        <v>168</v>
      </c>
      <c r="P11" s="19" t="s">
        <v>166</v>
      </c>
      <c r="Q11" s="17" t="s">
        <v>164</v>
      </c>
      <c r="R11" s="18" t="s">
        <v>165</v>
      </c>
      <c r="S11" s="19" t="s">
        <v>166</v>
      </c>
      <c r="T11" s="18" t="s">
        <v>165</v>
      </c>
      <c r="U11" s="19" t="s">
        <v>166</v>
      </c>
      <c r="V11" s="17" t="s">
        <v>164</v>
      </c>
      <c r="W11" s="18" t="s">
        <v>165</v>
      </c>
      <c r="X11" s="19" t="s">
        <v>166</v>
      </c>
      <c r="Y11" s="16" t="s">
        <v>169</v>
      </c>
      <c r="Z11" s="16" t="s">
        <v>170</v>
      </c>
    </row>
    <row r="12" spans="1:26" ht="15" customHeight="1" x14ac:dyDescent="0.2">
      <c r="A12" s="20">
        <v>1</v>
      </c>
      <c r="B12" s="21">
        <v>300</v>
      </c>
      <c r="C12" s="20">
        <v>1</v>
      </c>
      <c r="D12" s="20" t="s">
        <v>171</v>
      </c>
      <c r="E12" s="22">
        <v>50</v>
      </c>
      <c r="F12" s="22">
        <f>IF(B12&gt;=10000,"TTS",B12*$B$2*1)</f>
        <v>150</v>
      </c>
      <c r="G12" s="22">
        <f>IF(B12&gt;=10000,"TTS",E12+F12)</f>
        <v>200</v>
      </c>
      <c r="H12" s="22">
        <v>99</v>
      </c>
      <c r="I12" s="22">
        <f>B12*$B$2*0.99</f>
        <v>148.5</v>
      </c>
      <c r="J12" s="22">
        <f>H12+I12</f>
        <v>247.5</v>
      </c>
      <c r="K12" s="22">
        <v>115</v>
      </c>
      <c r="L12" s="22">
        <f>(C12*$B$4)+(B12*$B$2*$B$5)</f>
        <v>275</v>
      </c>
      <c r="M12" s="22">
        <f>K12+L12</f>
        <v>390</v>
      </c>
      <c r="N12" s="23">
        <v>749</v>
      </c>
      <c r="O12" s="20" t="s">
        <v>172</v>
      </c>
      <c r="P12" s="23">
        <v>749</v>
      </c>
      <c r="Q12" s="22">
        <v>49</v>
      </c>
      <c r="R12" s="21">
        <f>MAX(0,B12*$B$3-500)*0.45</f>
        <v>0</v>
      </c>
      <c r="S12" s="21">
        <f>Q12+R12</f>
        <v>49</v>
      </c>
      <c r="T12" s="24">
        <f>MIN(50+MAX(0,B12*$B$2-500)*0.25,135+MAX(0,B12*$B$2-2000)*0.2,725+MAX(0,B12*$B$2-20000)*0.15)</f>
        <v>50</v>
      </c>
      <c r="U12" s="24">
        <f>T12</f>
        <v>50</v>
      </c>
      <c r="V12" s="22">
        <v>100</v>
      </c>
      <c r="W12" s="22">
        <f>MAX(0,B12*$B$2-50)*1</f>
        <v>100</v>
      </c>
      <c r="X12" s="22">
        <f>V12+W12</f>
        <v>200</v>
      </c>
      <c r="Y12" s="25" t="str">
        <f>IF(MIN(IFERROR(G12,999999),J12,M12,P12,S12,U12,X12)=U12,"Hay",IF(MIN(IFERROR(G12,999999),J12,M12,P12,S12,U12,X12)=S12,"Freshdesk",IF(MIN(IFERROR(G12,999999),J12,M12,P12,S12,U12,X12)=P12,"Tidio",IF(MIN(IFERROR(G12,999999),J12,M12,P12,S12,U12,X12)=IFERROR(G12,999999),"Gorgias",IF(MIN(IFERROR(G12,999999),J12,M12,P12,S12,U12,X12)=J12,"Intercom",IF(MIN(IFERROR(G12,999999),J12,M12,P12,S12,U12,X12)=X12,"HubSpot","Zendesk"))))))</f>
        <v>Freshdesk</v>
      </c>
      <c r="Z12" s="26">
        <f>ROUND(MIN(IFERROR(G12,999999),J12,M12,P12,S12,U12,X12)/(B12*$B$2),2)</f>
        <v>0.33</v>
      </c>
    </row>
    <row r="13" spans="1:26" ht="15" customHeight="1" x14ac:dyDescent="0.2">
      <c r="A13" s="20">
        <v>2</v>
      </c>
      <c r="B13" s="21">
        <v>300</v>
      </c>
      <c r="C13" s="20">
        <v>1</v>
      </c>
      <c r="D13" s="20" t="s">
        <v>173</v>
      </c>
      <c r="E13" s="22">
        <v>50</v>
      </c>
      <c r="F13" s="22">
        <v>0</v>
      </c>
      <c r="G13" s="22">
        <v>50</v>
      </c>
      <c r="H13" s="22">
        <v>99</v>
      </c>
      <c r="I13" s="22">
        <v>0</v>
      </c>
      <c r="J13" s="22">
        <v>99</v>
      </c>
      <c r="K13" s="22">
        <v>115</v>
      </c>
      <c r="L13" s="22">
        <v>0</v>
      </c>
      <c r="M13" s="22">
        <v>115</v>
      </c>
      <c r="N13" s="23">
        <v>32.5</v>
      </c>
      <c r="O13" s="20" t="s">
        <v>172</v>
      </c>
      <c r="P13" s="23">
        <v>32.5</v>
      </c>
      <c r="Q13" s="22">
        <v>49</v>
      </c>
      <c r="R13" s="21">
        <v>0</v>
      </c>
      <c r="S13" s="21">
        <v>49</v>
      </c>
      <c r="T13" s="20" t="s">
        <v>174</v>
      </c>
      <c r="U13" s="20" t="s">
        <v>174</v>
      </c>
      <c r="V13" s="22">
        <v>100</v>
      </c>
      <c r="W13" s="22">
        <v>0</v>
      </c>
      <c r="X13" s="22">
        <v>100</v>
      </c>
      <c r="Y13" s="6" t="s">
        <v>175</v>
      </c>
      <c r="Z13" t="s">
        <v>175</v>
      </c>
    </row>
    <row r="14" spans="1:26" ht="15" customHeight="1" x14ac:dyDescent="0.2">
      <c r="A14" s="20">
        <v>3</v>
      </c>
      <c r="B14" s="21">
        <v>300</v>
      </c>
      <c r="C14" s="20">
        <v>3</v>
      </c>
      <c r="D14" s="20" t="s">
        <v>171</v>
      </c>
      <c r="E14" s="22">
        <v>50</v>
      </c>
      <c r="F14" s="22">
        <f>IF(B14&gt;=10000,"TTS",B14*$B$2*1)</f>
        <v>150</v>
      </c>
      <c r="G14" s="22">
        <f>IF(B14&gt;=10000,"TTS",E14+F14)</f>
        <v>200</v>
      </c>
      <c r="H14" s="22">
        <v>297</v>
      </c>
      <c r="I14" s="22">
        <f>B14*$B$2*0.99</f>
        <v>148.5</v>
      </c>
      <c r="J14" s="22">
        <f>H14+I14</f>
        <v>445.5</v>
      </c>
      <c r="K14" s="22">
        <v>345</v>
      </c>
      <c r="L14" s="22">
        <f>(C14*$B$4)+(B14*$B$2*$B$5)</f>
        <v>375</v>
      </c>
      <c r="M14" s="22">
        <f>K14+L14</f>
        <v>720</v>
      </c>
      <c r="N14" s="23">
        <v>749</v>
      </c>
      <c r="O14" s="20" t="s">
        <v>172</v>
      </c>
      <c r="P14" s="23">
        <v>749</v>
      </c>
      <c r="Q14" s="22">
        <v>147</v>
      </c>
      <c r="R14" s="21">
        <f>MAX(0,B14*$B$3-500)*0.45</f>
        <v>0</v>
      </c>
      <c r="S14" s="21">
        <f>Q14+R14</f>
        <v>147</v>
      </c>
      <c r="T14" s="24">
        <f>MIN(50+MAX(0,B14*$B$2-500)*0.25,135+MAX(0,B14*$B$2-2000)*0.2,725+MAX(0,B14*$B$2-20000)*0.15)</f>
        <v>50</v>
      </c>
      <c r="U14" s="24">
        <f>T14</f>
        <v>50</v>
      </c>
      <c r="V14" s="22">
        <v>300</v>
      </c>
      <c r="W14" s="22">
        <f>MAX(0,B14*$B$2-50)*1</f>
        <v>100</v>
      </c>
      <c r="X14" s="22">
        <f>V14+W14</f>
        <v>400</v>
      </c>
      <c r="Y14" s="25" t="str">
        <f>IF(MIN(IFERROR(G14,999999),J14,M14,P14,S14,U14,X14)=U14,"Hay",IF(MIN(IFERROR(G14,999999),J14,M14,P14,S14,U14,X14)=S14,"Freshdesk",IF(MIN(IFERROR(G14,999999),J14,M14,P14,S14,U14,X14)=P14,"Tidio",IF(MIN(IFERROR(G14,999999),J14,M14,P14,S14,U14,X14)=IFERROR(G14,999999),"Gorgias",IF(MIN(IFERROR(G14,999999),J14,M14,P14,S14,U14,X14)=J14,"Intercom",IF(MIN(IFERROR(G14,999999),J14,M14,P14,S14,U14,X14)=X14,"HubSpot","Zendesk"))))))</f>
        <v>Hay</v>
      </c>
      <c r="Z14" s="26">
        <f>ROUND(MIN(IFERROR(G14,999999),J14,M14,P14,S14,U14,X14)/(B14*$B$2),2)</f>
        <v>0.33</v>
      </c>
    </row>
    <row r="15" spans="1:26" ht="15" customHeight="1" x14ac:dyDescent="0.2">
      <c r="A15" s="20">
        <v>4</v>
      </c>
      <c r="B15" s="21">
        <v>300</v>
      </c>
      <c r="C15" s="20">
        <v>3</v>
      </c>
      <c r="D15" s="20" t="s">
        <v>173</v>
      </c>
      <c r="E15" s="22">
        <v>50</v>
      </c>
      <c r="F15" s="22">
        <v>0</v>
      </c>
      <c r="G15" s="22">
        <v>50</v>
      </c>
      <c r="H15" s="22">
        <v>297</v>
      </c>
      <c r="I15" s="22">
        <v>0</v>
      </c>
      <c r="J15" s="22">
        <v>297</v>
      </c>
      <c r="K15" s="22">
        <v>345</v>
      </c>
      <c r="L15" s="22">
        <v>0</v>
      </c>
      <c r="M15" s="22">
        <v>345</v>
      </c>
      <c r="N15" s="23">
        <v>32.5</v>
      </c>
      <c r="O15" s="20" t="s">
        <v>172</v>
      </c>
      <c r="P15" s="23">
        <v>32.5</v>
      </c>
      <c r="Q15" s="22">
        <v>147</v>
      </c>
      <c r="R15" s="21">
        <v>0</v>
      </c>
      <c r="S15" s="21">
        <v>147</v>
      </c>
      <c r="T15" s="20" t="s">
        <v>174</v>
      </c>
      <c r="U15" s="20" t="s">
        <v>174</v>
      </c>
      <c r="V15" s="22">
        <v>300</v>
      </c>
      <c r="W15" s="22">
        <v>0</v>
      </c>
      <c r="X15" s="22">
        <v>300</v>
      </c>
      <c r="Y15" s="6" t="s">
        <v>175</v>
      </c>
      <c r="Z15" t="s">
        <v>175</v>
      </c>
    </row>
    <row r="16" spans="1:26" ht="15" customHeight="1" x14ac:dyDescent="0.2">
      <c r="A16" s="20">
        <v>5</v>
      </c>
      <c r="B16" s="21">
        <v>300</v>
      </c>
      <c r="C16" s="20">
        <v>5</v>
      </c>
      <c r="D16" s="20" t="s">
        <v>171</v>
      </c>
      <c r="E16" s="22">
        <v>50</v>
      </c>
      <c r="F16" s="22">
        <f>IF(B16&gt;=10000,"TTS",B16*$B$2*1)</f>
        <v>150</v>
      </c>
      <c r="G16" s="22">
        <f>IF(B16&gt;=10000,"TTS",E16+F16)</f>
        <v>200</v>
      </c>
      <c r="H16" s="22">
        <v>495</v>
      </c>
      <c r="I16" s="22">
        <f>B16*$B$2*0.99</f>
        <v>148.5</v>
      </c>
      <c r="J16" s="22">
        <f>H16+I16</f>
        <v>643.5</v>
      </c>
      <c r="K16" s="22">
        <v>575</v>
      </c>
      <c r="L16" s="22">
        <f>(C16*$B$4)+(B16*$B$2*$B$5)</f>
        <v>475</v>
      </c>
      <c r="M16" s="22">
        <f>K16+L16</f>
        <v>1050</v>
      </c>
      <c r="N16" s="23">
        <v>749</v>
      </c>
      <c r="O16" s="20" t="s">
        <v>172</v>
      </c>
      <c r="P16" s="23">
        <v>749</v>
      </c>
      <c r="Q16" s="22">
        <v>245</v>
      </c>
      <c r="R16" s="21">
        <f>MAX(0,B16*$B$3-500)*0.45</f>
        <v>0</v>
      </c>
      <c r="S16" s="21">
        <f>Q16+R16</f>
        <v>245</v>
      </c>
      <c r="T16" s="24">
        <f>MIN(50+MAX(0,B16*$B$2-500)*0.25,135+MAX(0,B16*$B$2-2000)*0.2,725+MAX(0,B16*$B$2-20000)*0.15)</f>
        <v>50</v>
      </c>
      <c r="U16" s="24">
        <f>T16</f>
        <v>50</v>
      </c>
      <c r="V16" s="22">
        <v>500</v>
      </c>
      <c r="W16" s="22">
        <f>MAX(0,B16*$B$2-50)*1</f>
        <v>100</v>
      </c>
      <c r="X16" s="22">
        <f>V16+W16</f>
        <v>600</v>
      </c>
      <c r="Y16" s="25" t="str">
        <f>IF(MIN(IFERROR(G16,999999),J16,M16,P16,S16,U16,X16)=U16,"Hay",IF(MIN(IFERROR(G16,999999),J16,M16,P16,S16,U16,X16)=S16,"Freshdesk",IF(MIN(IFERROR(G16,999999),J16,M16,P16,S16,U16,X16)=P16,"Tidio",IF(MIN(IFERROR(G16,999999),J16,M16,P16,S16,U16,X16)=IFERROR(G16,999999),"Gorgias",IF(MIN(IFERROR(G16,999999),J16,M16,P16,S16,U16,X16)=J16,"Intercom",IF(MIN(IFERROR(G16,999999),J16,M16,P16,S16,U16,X16)=X16,"HubSpot","Zendesk"))))))</f>
        <v>Hay</v>
      </c>
      <c r="Z16" s="26">
        <f>ROUND(MIN(IFERROR(G16,999999),J16,M16,P16,S16,U16,X16)/(B16*$B$2),2)</f>
        <v>0.33</v>
      </c>
    </row>
    <row r="17" spans="1:26" ht="15" customHeight="1" x14ac:dyDescent="0.2">
      <c r="A17" s="20">
        <v>6</v>
      </c>
      <c r="B17" s="21">
        <v>300</v>
      </c>
      <c r="C17" s="20">
        <v>5</v>
      </c>
      <c r="D17" s="20" t="s">
        <v>173</v>
      </c>
      <c r="E17" s="22">
        <v>50</v>
      </c>
      <c r="F17" s="22">
        <v>0</v>
      </c>
      <c r="G17" s="22">
        <v>50</v>
      </c>
      <c r="H17" s="22">
        <v>495</v>
      </c>
      <c r="I17" s="22">
        <v>0</v>
      </c>
      <c r="J17" s="22">
        <v>495</v>
      </c>
      <c r="K17" s="22">
        <v>575</v>
      </c>
      <c r="L17" s="22">
        <v>0</v>
      </c>
      <c r="M17" s="22">
        <v>575</v>
      </c>
      <c r="N17" s="23">
        <v>32.5</v>
      </c>
      <c r="O17" s="20" t="s">
        <v>172</v>
      </c>
      <c r="P17" s="23">
        <v>32.5</v>
      </c>
      <c r="Q17" s="22">
        <v>245</v>
      </c>
      <c r="R17" s="21">
        <v>0</v>
      </c>
      <c r="S17" s="21">
        <v>245</v>
      </c>
      <c r="T17" s="20" t="s">
        <v>174</v>
      </c>
      <c r="U17" s="20" t="s">
        <v>174</v>
      </c>
      <c r="V17" s="22">
        <v>500</v>
      </c>
      <c r="W17" s="22">
        <v>0</v>
      </c>
      <c r="X17" s="22">
        <v>500</v>
      </c>
      <c r="Y17" s="6" t="s">
        <v>175</v>
      </c>
      <c r="Z17" t="s">
        <v>175</v>
      </c>
    </row>
    <row r="18" spans="1:26" ht="15" customHeight="1" x14ac:dyDescent="0.2">
      <c r="A18" s="20">
        <v>7</v>
      </c>
      <c r="B18" s="21">
        <v>300</v>
      </c>
      <c r="C18" s="20">
        <v>10</v>
      </c>
      <c r="D18" s="20" t="s">
        <v>171</v>
      </c>
      <c r="E18" s="22">
        <v>50</v>
      </c>
      <c r="F18" s="22">
        <f>IF(B18&gt;=10000,"TTS",B18*$B$2*1)</f>
        <v>150</v>
      </c>
      <c r="G18" s="22">
        <f>IF(B18&gt;=10000,"TTS",E18+F18)</f>
        <v>200</v>
      </c>
      <c r="H18" s="22">
        <v>990</v>
      </c>
      <c r="I18" s="22">
        <f>B18*$B$2*0.99</f>
        <v>148.5</v>
      </c>
      <c r="J18" s="22">
        <f>H18+I18</f>
        <v>1138.5</v>
      </c>
      <c r="K18" s="22">
        <v>1150</v>
      </c>
      <c r="L18" s="22">
        <f>(C18*$B$4)+(B18*$B$2*$B$5)</f>
        <v>725</v>
      </c>
      <c r="M18" s="22">
        <f>K18+L18</f>
        <v>1875</v>
      </c>
      <c r="N18" s="23">
        <v>749</v>
      </c>
      <c r="O18" s="20" t="s">
        <v>172</v>
      </c>
      <c r="P18" s="23">
        <v>749</v>
      </c>
      <c r="Q18" s="22">
        <v>490</v>
      </c>
      <c r="R18" s="21">
        <f>MAX(0,B18*$B$3-500)*0.45</f>
        <v>0</v>
      </c>
      <c r="S18" s="21">
        <f>Q18+R18</f>
        <v>490</v>
      </c>
      <c r="T18" s="24">
        <f>MIN(50+MAX(0,B18*$B$2-500)*0.25,135+MAX(0,B18*$B$2-2000)*0.2,725+MAX(0,B18*$B$2-20000)*0.15)</f>
        <v>50</v>
      </c>
      <c r="U18" s="24">
        <f>T18</f>
        <v>50</v>
      </c>
      <c r="V18" s="22">
        <v>1000</v>
      </c>
      <c r="W18" s="22">
        <f>MAX(0,B18*$B$2-50)*1</f>
        <v>100</v>
      </c>
      <c r="X18" s="22">
        <f>V18+W18</f>
        <v>1100</v>
      </c>
      <c r="Y18" s="25" t="str">
        <f>IF(MIN(IFERROR(G18,999999),J18,M18,P18,S18,U18,X18)=U18,"Hay",IF(MIN(IFERROR(G18,999999),J18,M18,P18,S18,U18,X18)=S18,"Freshdesk",IF(MIN(IFERROR(G18,999999),J18,M18,P18,S18,U18,X18)=P18,"Tidio",IF(MIN(IFERROR(G18,999999),J18,M18,P18,S18,U18,X18)=IFERROR(G18,999999),"Gorgias",IF(MIN(IFERROR(G18,999999),J18,M18,P18,S18,U18,X18)=J18,"Intercom",IF(MIN(IFERROR(G18,999999),J18,M18,P18,S18,U18,X18)=X18,"HubSpot","Zendesk"))))))</f>
        <v>Hay</v>
      </c>
      <c r="Z18" s="26">
        <f>ROUND(MIN(IFERROR(G18,999999),J18,M18,P18,S18,U18,X18)/(B18*$B$2),2)</f>
        <v>0.33</v>
      </c>
    </row>
    <row r="19" spans="1:26" ht="15" customHeight="1" x14ac:dyDescent="0.2">
      <c r="A19" s="20">
        <v>8</v>
      </c>
      <c r="B19" s="21">
        <v>300</v>
      </c>
      <c r="C19" s="20">
        <v>10</v>
      </c>
      <c r="D19" s="20" t="s">
        <v>173</v>
      </c>
      <c r="E19" s="22">
        <v>50</v>
      </c>
      <c r="F19" s="22">
        <v>0</v>
      </c>
      <c r="G19" s="22">
        <v>50</v>
      </c>
      <c r="H19" s="22">
        <v>990</v>
      </c>
      <c r="I19" s="22">
        <v>0</v>
      </c>
      <c r="J19" s="22">
        <v>990</v>
      </c>
      <c r="K19" s="22">
        <v>1150</v>
      </c>
      <c r="L19" s="22">
        <v>0</v>
      </c>
      <c r="M19" s="22">
        <v>1150</v>
      </c>
      <c r="N19" s="23">
        <v>32.5</v>
      </c>
      <c r="O19" s="20" t="s">
        <v>172</v>
      </c>
      <c r="P19" s="23">
        <v>32.5</v>
      </c>
      <c r="Q19" s="22">
        <v>490</v>
      </c>
      <c r="R19" s="21">
        <v>0</v>
      </c>
      <c r="S19" s="21">
        <v>490</v>
      </c>
      <c r="T19" s="20" t="s">
        <v>174</v>
      </c>
      <c r="U19" s="20" t="s">
        <v>174</v>
      </c>
      <c r="V19" s="22">
        <v>1000</v>
      </c>
      <c r="W19" s="22">
        <v>0</v>
      </c>
      <c r="X19" s="22">
        <v>1000</v>
      </c>
      <c r="Y19" s="6" t="s">
        <v>175</v>
      </c>
      <c r="Z19" t="s">
        <v>175</v>
      </c>
    </row>
    <row r="21" spans="1:26" ht="15" customHeight="1" x14ac:dyDescent="0.2">
      <c r="A21" s="20">
        <v>9</v>
      </c>
      <c r="B21" s="21">
        <v>1000</v>
      </c>
      <c r="C21" s="20">
        <v>1</v>
      </c>
      <c r="D21" s="20" t="s">
        <v>171</v>
      </c>
      <c r="E21" s="22">
        <v>300</v>
      </c>
      <c r="F21" s="22">
        <f>IF(B21&gt;=10000,"TTS",B21*$B$2*1)</f>
        <v>500</v>
      </c>
      <c r="G21" s="22">
        <f>IF(B21&gt;=10000,"TTS",E21+F21)</f>
        <v>800</v>
      </c>
      <c r="H21" s="22">
        <v>99</v>
      </c>
      <c r="I21" s="22">
        <f>B21*$B$2*0.99</f>
        <v>495</v>
      </c>
      <c r="J21" s="22">
        <f>H21+I21</f>
        <v>594</v>
      </c>
      <c r="K21" s="22">
        <v>115</v>
      </c>
      <c r="L21" s="22">
        <f>(C21*$B$4)+(B21*$B$2*$B$5)</f>
        <v>800</v>
      </c>
      <c r="M21" s="22">
        <f>K21+L21</f>
        <v>915</v>
      </c>
      <c r="N21" s="23">
        <v>749</v>
      </c>
      <c r="O21" s="20" t="s">
        <v>172</v>
      </c>
      <c r="P21" s="23">
        <v>749</v>
      </c>
      <c r="Q21" s="22">
        <v>49</v>
      </c>
      <c r="R21" s="21">
        <f>MAX(0,B21*$B$3-500)*0.45</f>
        <v>315</v>
      </c>
      <c r="S21" s="21">
        <f>Q21+R21</f>
        <v>364</v>
      </c>
      <c r="T21" s="24">
        <f>MIN(50+MAX(0,B21*$B$2-500)*0.25,135+MAX(0,B21*$B$2-2000)*0.2,725+MAX(0,B21*$B$2-20000)*0.15)</f>
        <v>50</v>
      </c>
      <c r="U21" s="24">
        <f>T21</f>
        <v>50</v>
      </c>
      <c r="V21" s="22">
        <v>100</v>
      </c>
      <c r="W21" s="22">
        <f>MAX(0,B21*$B$2-50)*1</f>
        <v>450</v>
      </c>
      <c r="X21" s="22">
        <f>V21+W21</f>
        <v>550</v>
      </c>
      <c r="Y21" s="25" t="str">
        <f>IF(MIN(IFERROR(G21,999999),J21,M21,P21,S21,U21,X21)=U21,"Hay",IF(MIN(IFERROR(G21,999999),J21,M21,P21,S21,U21,X21)=S21,"Freshdesk",IF(MIN(IFERROR(G21,999999),J21,M21,P21,S21,U21,X21)=P21,"Tidio",IF(MIN(IFERROR(G21,999999),J21,M21,P21,S21,U21,X21)=IFERROR(G21,999999),"Gorgias",IF(MIN(IFERROR(G21,999999),J21,M21,P21,S21,U21,X21)=J21,"Intercom",IF(MIN(IFERROR(G21,999999),J21,M21,P21,S21,U21,X21)=X21,"HubSpot","Zendesk"))))))</f>
        <v>Hay</v>
      </c>
      <c r="Z21" s="26">
        <f>ROUND(MIN(IFERROR(G21,999999),J21,M21,P21,S21,U21,X21)/(B21*$B$2),2)</f>
        <v>0.1</v>
      </c>
    </row>
    <row r="22" spans="1:26" ht="15" customHeight="1" x14ac:dyDescent="0.2">
      <c r="A22" s="20">
        <v>10</v>
      </c>
      <c r="B22" s="21">
        <v>1000</v>
      </c>
      <c r="C22" s="20">
        <v>1</v>
      </c>
      <c r="D22" s="20" t="s">
        <v>173</v>
      </c>
      <c r="E22" s="22">
        <v>300</v>
      </c>
      <c r="F22" s="22">
        <v>0</v>
      </c>
      <c r="G22" s="22">
        <v>300</v>
      </c>
      <c r="H22" s="22">
        <v>99</v>
      </c>
      <c r="I22" s="22">
        <v>0</v>
      </c>
      <c r="J22" s="22">
        <v>99</v>
      </c>
      <c r="K22" s="22">
        <v>115</v>
      </c>
      <c r="L22" s="22">
        <v>0</v>
      </c>
      <c r="M22" s="22">
        <v>115</v>
      </c>
      <c r="N22" s="23">
        <v>32.5</v>
      </c>
      <c r="O22" s="20" t="s">
        <v>172</v>
      </c>
      <c r="P22" s="23">
        <v>32.5</v>
      </c>
      <c r="Q22" s="22">
        <v>49</v>
      </c>
      <c r="R22" s="21">
        <v>0</v>
      </c>
      <c r="S22" s="21">
        <v>49</v>
      </c>
      <c r="T22" s="20" t="s">
        <v>174</v>
      </c>
      <c r="U22" s="20" t="s">
        <v>174</v>
      </c>
      <c r="V22" s="22">
        <v>100</v>
      </c>
      <c r="W22" s="22">
        <v>0</v>
      </c>
      <c r="X22" s="22">
        <v>100</v>
      </c>
      <c r="Y22" s="6" t="s">
        <v>175</v>
      </c>
      <c r="Z22" t="s">
        <v>175</v>
      </c>
    </row>
    <row r="23" spans="1:26" ht="15" customHeight="1" x14ac:dyDescent="0.2">
      <c r="A23" s="20">
        <v>11</v>
      </c>
      <c r="B23" s="21">
        <v>1000</v>
      </c>
      <c r="C23" s="20">
        <v>3</v>
      </c>
      <c r="D23" s="20" t="s">
        <v>171</v>
      </c>
      <c r="E23" s="22">
        <v>300</v>
      </c>
      <c r="F23" s="22">
        <f>IF(B23&gt;=10000,"TTS",B23*$B$2*1)</f>
        <v>500</v>
      </c>
      <c r="G23" s="22">
        <f>IF(B23&gt;=10000,"TTS",E23+F23)</f>
        <v>800</v>
      </c>
      <c r="H23" s="22">
        <v>297</v>
      </c>
      <c r="I23" s="22">
        <f>B23*$B$2*0.99</f>
        <v>495</v>
      </c>
      <c r="J23" s="22">
        <f>H23+I23</f>
        <v>792</v>
      </c>
      <c r="K23" s="22">
        <v>345</v>
      </c>
      <c r="L23" s="22">
        <f>(C23*$B$4)+(B23*$B$2*$B$5)</f>
        <v>900</v>
      </c>
      <c r="M23" s="22">
        <f>K23+L23</f>
        <v>1245</v>
      </c>
      <c r="N23" s="23">
        <v>749</v>
      </c>
      <c r="O23" s="20" t="s">
        <v>172</v>
      </c>
      <c r="P23" s="23">
        <v>749</v>
      </c>
      <c r="Q23" s="22">
        <v>147</v>
      </c>
      <c r="R23" s="21">
        <f>MAX(0,B23*$B$3-500)*0.45</f>
        <v>315</v>
      </c>
      <c r="S23" s="21">
        <f>Q23+R23</f>
        <v>462</v>
      </c>
      <c r="T23" s="24">
        <f>MIN(50+MAX(0,B23*$B$2-500)*0.25,135+MAX(0,B23*$B$2-2000)*0.2,725+MAX(0,B23*$B$2-20000)*0.15)</f>
        <v>50</v>
      </c>
      <c r="U23" s="24">
        <f>T23</f>
        <v>50</v>
      </c>
      <c r="V23" s="22">
        <v>300</v>
      </c>
      <c r="W23" s="22">
        <f>MAX(0,B23*$B$2-50)*1</f>
        <v>450</v>
      </c>
      <c r="X23" s="22">
        <f>V23+W23</f>
        <v>750</v>
      </c>
      <c r="Y23" s="25" t="str">
        <f>IF(MIN(IFERROR(G23,999999),J23,M23,P23,S23,U23,X23)=U23,"Hay",IF(MIN(IFERROR(G23,999999),J23,M23,P23,S23,U23,X23)=S23,"Freshdesk",IF(MIN(IFERROR(G23,999999),J23,M23,P23,S23,U23,X23)=P23,"Tidio",IF(MIN(IFERROR(G23,999999),J23,M23,P23,S23,U23,X23)=IFERROR(G23,999999),"Gorgias",IF(MIN(IFERROR(G23,999999),J23,M23,P23,S23,U23,X23)=J23,"Intercom",IF(MIN(IFERROR(G23,999999),J23,M23,P23,S23,U23,X23)=X23,"HubSpot","Zendesk"))))))</f>
        <v>Hay</v>
      </c>
      <c r="Z23" s="26">
        <f>ROUND(MIN(IFERROR(G23,999999),J23,M23,P23,S23,U23,X23)/(B23*$B$2),2)</f>
        <v>0.1</v>
      </c>
    </row>
    <row r="24" spans="1:26" ht="15" customHeight="1" x14ac:dyDescent="0.2">
      <c r="A24" s="20">
        <v>12</v>
      </c>
      <c r="B24" s="21">
        <v>1000</v>
      </c>
      <c r="C24" s="20">
        <v>3</v>
      </c>
      <c r="D24" s="20" t="s">
        <v>173</v>
      </c>
      <c r="E24" s="22">
        <v>300</v>
      </c>
      <c r="F24" s="22">
        <v>0</v>
      </c>
      <c r="G24" s="22">
        <v>300</v>
      </c>
      <c r="H24" s="22">
        <v>297</v>
      </c>
      <c r="I24" s="22">
        <v>0</v>
      </c>
      <c r="J24" s="22">
        <v>297</v>
      </c>
      <c r="K24" s="22">
        <v>345</v>
      </c>
      <c r="L24" s="22">
        <v>0</v>
      </c>
      <c r="M24" s="22">
        <v>345</v>
      </c>
      <c r="N24" s="23">
        <v>32.5</v>
      </c>
      <c r="O24" s="20" t="s">
        <v>172</v>
      </c>
      <c r="P24" s="23">
        <v>32.5</v>
      </c>
      <c r="Q24" s="22">
        <v>147</v>
      </c>
      <c r="R24" s="21">
        <v>0</v>
      </c>
      <c r="S24" s="21">
        <v>147</v>
      </c>
      <c r="T24" s="20" t="s">
        <v>174</v>
      </c>
      <c r="U24" s="20" t="s">
        <v>174</v>
      </c>
      <c r="V24" s="22">
        <v>300</v>
      </c>
      <c r="W24" s="22">
        <v>0</v>
      </c>
      <c r="X24" s="22">
        <v>300</v>
      </c>
      <c r="Y24" s="6" t="s">
        <v>175</v>
      </c>
      <c r="Z24" t="s">
        <v>175</v>
      </c>
    </row>
    <row r="25" spans="1:26" ht="15" customHeight="1" x14ac:dyDescent="0.2">
      <c r="A25" s="20">
        <v>13</v>
      </c>
      <c r="B25" s="21">
        <v>1000</v>
      </c>
      <c r="C25" s="20">
        <v>5</v>
      </c>
      <c r="D25" s="20" t="s">
        <v>171</v>
      </c>
      <c r="E25" s="22">
        <v>300</v>
      </c>
      <c r="F25" s="22">
        <f>IF(B25&gt;=10000,"TTS",B25*$B$2*1)</f>
        <v>500</v>
      </c>
      <c r="G25" s="22">
        <f>IF(B25&gt;=10000,"TTS",E25+F25)</f>
        <v>800</v>
      </c>
      <c r="H25" s="22">
        <v>495</v>
      </c>
      <c r="I25" s="22">
        <f>B25*$B$2*0.99</f>
        <v>495</v>
      </c>
      <c r="J25" s="22">
        <f>H25+I25</f>
        <v>990</v>
      </c>
      <c r="K25" s="22">
        <v>575</v>
      </c>
      <c r="L25" s="22">
        <f>(C25*$B$4)+(B25*$B$2*$B$5)</f>
        <v>1000</v>
      </c>
      <c r="M25" s="22">
        <f>K25+L25</f>
        <v>1575</v>
      </c>
      <c r="N25" s="23">
        <v>749</v>
      </c>
      <c r="O25" s="20" t="s">
        <v>172</v>
      </c>
      <c r="P25" s="23">
        <v>749</v>
      </c>
      <c r="Q25" s="22">
        <v>245</v>
      </c>
      <c r="R25" s="21">
        <f>MAX(0,B25*$B$3-500)*0.45</f>
        <v>315</v>
      </c>
      <c r="S25" s="21">
        <f>Q25+R25</f>
        <v>560</v>
      </c>
      <c r="T25" s="24">
        <f>MIN(50+MAX(0,B25*$B$2-500)*0.25,135+MAX(0,B25*$B$2-2000)*0.2,725+MAX(0,B25*$B$2-20000)*0.15)</f>
        <v>50</v>
      </c>
      <c r="U25" s="24">
        <f>T25</f>
        <v>50</v>
      </c>
      <c r="V25" s="22">
        <v>500</v>
      </c>
      <c r="W25" s="22">
        <f>MAX(0,B25*$B$2-50)*1</f>
        <v>450</v>
      </c>
      <c r="X25" s="22">
        <f>V25+W25</f>
        <v>950</v>
      </c>
      <c r="Y25" s="25" t="str">
        <f>IF(MIN(IFERROR(G25,999999),J25,M25,P25,S25,U25,X25)=U25,"Hay",IF(MIN(IFERROR(G25,999999),J25,M25,P25,S25,U25,X25)=S25,"Freshdesk",IF(MIN(IFERROR(G25,999999),J25,M25,P25,S25,U25,X25)=P25,"Tidio",IF(MIN(IFERROR(G25,999999),J25,M25,P25,S25,U25,X25)=IFERROR(G25,999999),"Gorgias",IF(MIN(IFERROR(G25,999999),J25,M25,P25,S25,U25,X25)=J25,"Intercom",IF(MIN(IFERROR(G25,999999),J25,M25,P25,S25,U25,X25)=X25,"HubSpot","Zendesk"))))))</f>
        <v>Hay</v>
      </c>
      <c r="Z25" s="26">
        <f>ROUND(MIN(IFERROR(G25,999999),J25,M25,P25,S25,U25,X25)/(B25*$B$2),2)</f>
        <v>0.1</v>
      </c>
    </row>
    <row r="26" spans="1:26" ht="15" customHeight="1" x14ac:dyDescent="0.2">
      <c r="A26" s="20">
        <v>14</v>
      </c>
      <c r="B26" s="21">
        <v>1000</v>
      </c>
      <c r="C26" s="20">
        <v>5</v>
      </c>
      <c r="D26" s="20" t="s">
        <v>173</v>
      </c>
      <c r="E26" s="22">
        <v>300</v>
      </c>
      <c r="F26" s="22">
        <v>0</v>
      </c>
      <c r="G26" s="22">
        <v>300</v>
      </c>
      <c r="H26" s="22">
        <v>495</v>
      </c>
      <c r="I26" s="22">
        <v>0</v>
      </c>
      <c r="J26" s="22">
        <v>495</v>
      </c>
      <c r="K26" s="22">
        <v>575</v>
      </c>
      <c r="L26" s="22">
        <v>0</v>
      </c>
      <c r="M26" s="22">
        <v>575</v>
      </c>
      <c r="N26" s="23">
        <v>32.5</v>
      </c>
      <c r="O26" s="20" t="s">
        <v>172</v>
      </c>
      <c r="P26" s="23">
        <v>32.5</v>
      </c>
      <c r="Q26" s="22">
        <v>245</v>
      </c>
      <c r="R26" s="21">
        <v>0</v>
      </c>
      <c r="S26" s="21">
        <v>245</v>
      </c>
      <c r="T26" s="20" t="s">
        <v>174</v>
      </c>
      <c r="U26" s="20" t="s">
        <v>174</v>
      </c>
      <c r="V26" s="22">
        <v>500</v>
      </c>
      <c r="W26" s="22">
        <v>0</v>
      </c>
      <c r="X26" s="22">
        <v>500</v>
      </c>
      <c r="Y26" s="6" t="s">
        <v>175</v>
      </c>
      <c r="Z26" t="s">
        <v>175</v>
      </c>
    </row>
    <row r="27" spans="1:26" ht="15" customHeight="1" x14ac:dyDescent="0.2">
      <c r="A27" s="20">
        <v>15</v>
      </c>
      <c r="B27" s="21">
        <v>1000</v>
      </c>
      <c r="C27" s="20">
        <v>10</v>
      </c>
      <c r="D27" s="20" t="s">
        <v>171</v>
      </c>
      <c r="E27" s="22">
        <v>300</v>
      </c>
      <c r="F27" s="22">
        <f>IF(B27&gt;=10000,"TTS",B27*$B$2*1)</f>
        <v>500</v>
      </c>
      <c r="G27" s="22">
        <f>IF(B27&gt;=10000,"TTS",E27+F27)</f>
        <v>800</v>
      </c>
      <c r="H27" s="22">
        <v>990</v>
      </c>
      <c r="I27" s="22">
        <f>B27*$B$2*0.99</f>
        <v>495</v>
      </c>
      <c r="J27" s="22">
        <f>H27+I27</f>
        <v>1485</v>
      </c>
      <c r="K27" s="22">
        <v>1150</v>
      </c>
      <c r="L27" s="22">
        <f>(C27*$B$4)+(B27*$B$2*$B$5)</f>
        <v>1250</v>
      </c>
      <c r="M27" s="22">
        <f>K27+L27</f>
        <v>2400</v>
      </c>
      <c r="N27" s="23">
        <v>749</v>
      </c>
      <c r="O27" s="20" t="s">
        <v>172</v>
      </c>
      <c r="P27" s="23">
        <v>749</v>
      </c>
      <c r="Q27" s="22">
        <v>490</v>
      </c>
      <c r="R27" s="21">
        <f>MAX(0,B27*$B$3-500)*0.45</f>
        <v>315</v>
      </c>
      <c r="S27" s="21">
        <f>Q27+R27</f>
        <v>805</v>
      </c>
      <c r="T27" s="24">
        <f>MIN(50+MAX(0,B27*$B$2-500)*0.25,135+MAX(0,B27*$B$2-2000)*0.2,725+MAX(0,B27*$B$2-20000)*0.15)</f>
        <v>50</v>
      </c>
      <c r="U27" s="24">
        <f>T27</f>
        <v>50</v>
      </c>
      <c r="V27" s="22">
        <v>1000</v>
      </c>
      <c r="W27" s="22">
        <f>MAX(0,B27*$B$2-50)*1</f>
        <v>450</v>
      </c>
      <c r="X27" s="22">
        <f>V27+W27</f>
        <v>1450</v>
      </c>
      <c r="Y27" s="25" t="str">
        <f>IF(MIN(IFERROR(G27,999999),J27,M27,P27,S27,U27,X27)=U27,"Hay",IF(MIN(IFERROR(G27,999999),J27,M27,P27,S27,U27,X27)=S27,"Freshdesk",IF(MIN(IFERROR(G27,999999),J27,M27,P27,S27,U27,X27)=P27,"Tidio",IF(MIN(IFERROR(G27,999999),J27,M27,P27,S27,U27,X27)=IFERROR(G27,999999),"Gorgias",IF(MIN(IFERROR(G27,999999),J27,M27,P27,S27,U27,X27)=J27,"Intercom",IF(MIN(IFERROR(G27,999999),J27,M27,P27,S27,U27,X27)=X27,"HubSpot","Zendesk"))))))</f>
        <v>Hay</v>
      </c>
      <c r="Z27" s="26">
        <f>ROUND(MIN(IFERROR(G27,999999),J27,M27,P27,S27,U27,X27)/(B27*$B$2),2)</f>
        <v>0.1</v>
      </c>
    </row>
    <row r="28" spans="1:26" ht="15" customHeight="1" x14ac:dyDescent="0.2">
      <c r="A28" s="20">
        <v>16</v>
      </c>
      <c r="B28" s="21">
        <v>1000</v>
      </c>
      <c r="C28" s="20">
        <v>10</v>
      </c>
      <c r="D28" s="20" t="s">
        <v>173</v>
      </c>
      <c r="E28" s="22">
        <v>300</v>
      </c>
      <c r="F28" s="22">
        <v>0</v>
      </c>
      <c r="G28" s="22">
        <v>300</v>
      </c>
      <c r="H28" s="22">
        <v>990</v>
      </c>
      <c r="I28" s="22">
        <v>0</v>
      </c>
      <c r="J28" s="22">
        <v>990</v>
      </c>
      <c r="K28" s="22">
        <v>1150</v>
      </c>
      <c r="L28" s="22">
        <v>0</v>
      </c>
      <c r="M28" s="22">
        <v>1150</v>
      </c>
      <c r="N28" s="23">
        <v>32.5</v>
      </c>
      <c r="O28" s="20" t="s">
        <v>172</v>
      </c>
      <c r="P28" s="23">
        <v>32.5</v>
      </c>
      <c r="Q28" s="22">
        <v>490</v>
      </c>
      <c r="R28" s="21">
        <v>0</v>
      </c>
      <c r="S28" s="21">
        <v>490</v>
      </c>
      <c r="T28" s="20" t="s">
        <v>174</v>
      </c>
      <c r="U28" s="20" t="s">
        <v>174</v>
      </c>
      <c r="V28" s="22">
        <v>1000</v>
      </c>
      <c r="W28" s="22">
        <v>0</v>
      </c>
      <c r="X28" s="22">
        <v>1000</v>
      </c>
      <c r="Y28" s="6" t="s">
        <v>175</v>
      </c>
      <c r="Z28" t="s">
        <v>175</v>
      </c>
    </row>
    <row r="30" spans="1:26" ht="15" customHeight="1" x14ac:dyDescent="0.2">
      <c r="A30" s="20">
        <v>17</v>
      </c>
      <c r="B30" s="21">
        <v>2000</v>
      </c>
      <c r="C30" s="20">
        <v>1</v>
      </c>
      <c r="D30" s="20" t="s">
        <v>171</v>
      </c>
      <c r="E30" s="22">
        <v>300</v>
      </c>
      <c r="F30" s="22">
        <f>IF(B30&gt;=10000,"TTS",B30*$B$2*1)</f>
        <v>1000</v>
      </c>
      <c r="G30" s="22">
        <f>IF(B30&gt;=10000,"TTS",E30+F30)</f>
        <v>1300</v>
      </c>
      <c r="H30" s="22">
        <v>99</v>
      </c>
      <c r="I30" s="22">
        <f>B30*$B$2*0.99</f>
        <v>990</v>
      </c>
      <c r="J30" s="22">
        <f>H30+I30</f>
        <v>1089</v>
      </c>
      <c r="K30" s="22">
        <v>115</v>
      </c>
      <c r="L30" s="22">
        <f>(C30*$B$4)+(B30*$B$2*$B$5)</f>
        <v>1550</v>
      </c>
      <c r="M30" s="22">
        <f>K30+L30</f>
        <v>1665</v>
      </c>
      <c r="N30" s="23">
        <v>749</v>
      </c>
      <c r="O30" s="20" t="s">
        <v>172</v>
      </c>
      <c r="P30" s="23">
        <v>749</v>
      </c>
      <c r="Q30" s="22">
        <v>49</v>
      </c>
      <c r="R30" s="21">
        <f>MAX(0,B30*$B$3-500)*0.45</f>
        <v>855</v>
      </c>
      <c r="S30" s="21">
        <f>Q30+R30</f>
        <v>904</v>
      </c>
      <c r="T30" s="24">
        <f>MIN(50+MAX(0,B30*$B$2-500)*0.25,135+MAX(0,B30*$B$2-2000)*0.2,725+MAX(0,B30*$B$2-20000)*0.15)</f>
        <v>135</v>
      </c>
      <c r="U30" s="24">
        <f>T30</f>
        <v>135</v>
      </c>
      <c r="V30" s="22">
        <v>100</v>
      </c>
      <c r="W30" s="22">
        <f>MAX(0,B30*$B$2-50)*1</f>
        <v>950</v>
      </c>
      <c r="X30" s="22">
        <f>V30+W30</f>
        <v>1050</v>
      </c>
      <c r="Y30" s="25" t="str">
        <f>IF(MIN(IFERROR(G30,999999),J30,M30,P30,S30,U30,X30)=U30,"Hay",IF(MIN(IFERROR(G30,999999),J30,M30,P30,S30,U30,X30)=S30,"Freshdesk",IF(MIN(IFERROR(G30,999999),J30,M30,P30,S30,U30,X30)=P30,"Tidio",IF(MIN(IFERROR(G30,999999),J30,M30,P30,S30,U30,X30)=IFERROR(G30,999999),"Gorgias",IF(MIN(IFERROR(G30,999999),J30,M30,P30,S30,U30,X30)=J30,"Intercom",IF(MIN(IFERROR(G30,999999),J30,M30,P30,S30,U30,X30)=X30,"HubSpot","Zendesk"))))))</f>
        <v>Hay</v>
      </c>
      <c r="Z30" s="26">
        <f>ROUND(MIN(IFERROR(G30,999999),J30,M30,P30,S30,U30,X30)/(B30*$B$2),2)</f>
        <v>0.14000000000000001</v>
      </c>
    </row>
    <row r="31" spans="1:26" ht="15" customHeight="1" x14ac:dyDescent="0.2">
      <c r="A31" s="20">
        <v>18</v>
      </c>
      <c r="B31" s="21">
        <v>2000</v>
      </c>
      <c r="C31" s="20">
        <v>1</v>
      </c>
      <c r="D31" s="20" t="s">
        <v>173</v>
      </c>
      <c r="E31" s="22">
        <v>300</v>
      </c>
      <c r="F31" s="22">
        <v>0</v>
      </c>
      <c r="G31" s="22">
        <v>300</v>
      </c>
      <c r="H31" s="22">
        <v>99</v>
      </c>
      <c r="I31" s="22">
        <v>0</v>
      </c>
      <c r="J31" s="22">
        <v>99</v>
      </c>
      <c r="K31" s="22">
        <v>115</v>
      </c>
      <c r="L31" s="22">
        <v>0</v>
      </c>
      <c r="M31" s="22">
        <v>115</v>
      </c>
      <c r="N31" s="23">
        <v>32.5</v>
      </c>
      <c r="O31" s="20" t="s">
        <v>172</v>
      </c>
      <c r="P31" s="23">
        <v>32.5</v>
      </c>
      <c r="Q31" s="22">
        <v>49</v>
      </c>
      <c r="R31" s="21">
        <v>0</v>
      </c>
      <c r="S31" s="21">
        <v>49</v>
      </c>
      <c r="T31" s="20" t="s">
        <v>174</v>
      </c>
      <c r="U31" s="20" t="s">
        <v>174</v>
      </c>
      <c r="V31" s="22">
        <v>100</v>
      </c>
      <c r="W31" s="22">
        <v>0</v>
      </c>
      <c r="X31" s="22">
        <v>100</v>
      </c>
      <c r="Y31" s="6" t="s">
        <v>175</v>
      </c>
      <c r="Z31" t="s">
        <v>175</v>
      </c>
    </row>
    <row r="32" spans="1:26" ht="15" customHeight="1" x14ac:dyDescent="0.2">
      <c r="A32" s="20">
        <v>19</v>
      </c>
      <c r="B32" s="21">
        <v>2000</v>
      </c>
      <c r="C32" s="20">
        <v>3</v>
      </c>
      <c r="D32" s="20" t="s">
        <v>171</v>
      </c>
      <c r="E32" s="22">
        <v>300</v>
      </c>
      <c r="F32" s="22">
        <f>IF(B32&gt;=10000,"TTS",B32*$B$2*1)</f>
        <v>1000</v>
      </c>
      <c r="G32" s="22">
        <f>IF(B32&gt;=10000,"TTS",E32+F32)</f>
        <v>1300</v>
      </c>
      <c r="H32" s="22">
        <v>297</v>
      </c>
      <c r="I32" s="22">
        <f>B32*$B$2*0.99</f>
        <v>990</v>
      </c>
      <c r="J32" s="22">
        <f>H32+I32</f>
        <v>1287</v>
      </c>
      <c r="K32" s="22">
        <v>345</v>
      </c>
      <c r="L32" s="22">
        <f>(C32*$B$4)+(B32*$B$2*$B$5)</f>
        <v>1650</v>
      </c>
      <c r="M32" s="22">
        <f>K32+L32</f>
        <v>1995</v>
      </c>
      <c r="N32" s="23">
        <v>749</v>
      </c>
      <c r="O32" s="20" t="s">
        <v>172</v>
      </c>
      <c r="P32" s="23">
        <v>749</v>
      </c>
      <c r="Q32" s="22">
        <v>147</v>
      </c>
      <c r="R32" s="21">
        <f>MAX(0,B32*$B$3-500)*0.45</f>
        <v>855</v>
      </c>
      <c r="S32" s="21">
        <f>Q32+R32</f>
        <v>1002</v>
      </c>
      <c r="T32" s="24">
        <f>MIN(50+MAX(0,B32*$B$2-500)*0.25,135+MAX(0,B32*$B$2-2000)*0.2,725+MAX(0,B32*$B$2-20000)*0.15)</f>
        <v>135</v>
      </c>
      <c r="U32" s="24">
        <f>T32</f>
        <v>135</v>
      </c>
      <c r="V32" s="22">
        <v>300</v>
      </c>
      <c r="W32" s="22">
        <f>MAX(0,B32*$B$2-50)*1</f>
        <v>950</v>
      </c>
      <c r="X32" s="22">
        <f>V32+W32</f>
        <v>1250</v>
      </c>
      <c r="Y32" s="25" t="str">
        <f>IF(MIN(IFERROR(G32,999999),J32,M32,P32,S32,U32,X32)=U32,"Hay",IF(MIN(IFERROR(G32,999999),J32,M32,P32,S32,U32,X32)=S32,"Freshdesk",IF(MIN(IFERROR(G32,999999),J32,M32,P32,S32,U32,X32)=P32,"Tidio",IF(MIN(IFERROR(G32,999999),J32,M32,P32,S32,U32,X32)=IFERROR(G32,999999),"Gorgias",IF(MIN(IFERROR(G32,999999),J32,M32,P32,S32,U32,X32)=J32,"Intercom",IF(MIN(IFERROR(G32,999999),J32,M32,P32,S32,U32,X32)=X32,"HubSpot","Zendesk"))))))</f>
        <v>Hay</v>
      </c>
      <c r="Z32" s="26">
        <f>ROUND(MIN(IFERROR(G32,999999),J32,M32,P32,S32,U32,X32)/(B32*$B$2),2)</f>
        <v>0.14000000000000001</v>
      </c>
    </row>
    <row r="33" spans="1:26" ht="15" customHeight="1" x14ac:dyDescent="0.2">
      <c r="A33" s="20">
        <v>20</v>
      </c>
      <c r="B33" s="21">
        <v>2000</v>
      </c>
      <c r="C33" s="20">
        <v>3</v>
      </c>
      <c r="D33" s="20" t="s">
        <v>173</v>
      </c>
      <c r="E33" s="22">
        <v>300</v>
      </c>
      <c r="F33" s="22">
        <v>0</v>
      </c>
      <c r="G33" s="22">
        <v>300</v>
      </c>
      <c r="H33" s="22">
        <v>297</v>
      </c>
      <c r="I33" s="22">
        <v>0</v>
      </c>
      <c r="J33" s="22">
        <v>297</v>
      </c>
      <c r="K33" s="22">
        <v>345</v>
      </c>
      <c r="L33" s="22">
        <v>0</v>
      </c>
      <c r="M33" s="22">
        <v>345</v>
      </c>
      <c r="N33" s="23">
        <v>32.5</v>
      </c>
      <c r="O33" s="20" t="s">
        <v>172</v>
      </c>
      <c r="P33" s="23">
        <v>32.5</v>
      </c>
      <c r="Q33" s="22">
        <v>147</v>
      </c>
      <c r="R33" s="21">
        <v>0</v>
      </c>
      <c r="S33" s="21">
        <v>147</v>
      </c>
      <c r="T33" s="20" t="s">
        <v>174</v>
      </c>
      <c r="U33" s="20" t="s">
        <v>174</v>
      </c>
      <c r="V33" s="22">
        <v>300</v>
      </c>
      <c r="W33" s="22">
        <v>0</v>
      </c>
      <c r="X33" s="22">
        <v>300</v>
      </c>
      <c r="Y33" s="6" t="s">
        <v>175</v>
      </c>
      <c r="Z33" t="s">
        <v>175</v>
      </c>
    </row>
    <row r="34" spans="1:26" ht="15" customHeight="1" x14ac:dyDescent="0.2">
      <c r="A34" s="20">
        <v>21</v>
      </c>
      <c r="B34" s="21">
        <v>2000</v>
      </c>
      <c r="C34" s="20">
        <v>5</v>
      </c>
      <c r="D34" s="20" t="s">
        <v>171</v>
      </c>
      <c r="E34" s="22">
        <v>300</v>
      </c>
      <c r="F34" s="22">
        <f>IF(B34&gt;=10000,"TTS",B34*$B$2*1)</f>
        <v>1000</v>
      </c>
      <c r="G34" s="22">
        <f>IF(B34&gt;=10000,"TTS",E34+F34)</f>
        <v>1300</v>
      </c>
      <c r="H34" s="22">
        <v>495</v>
      </c>
      <c r="I34" s="22">
        <f>B34*$B$2*0.99</f>
        <v>990</v>
      </c>
      <c r="J34" s="22">
        <f>H34+I34</f>
        <v>1485</v>
      </c>
      <c r="K34" s="22">
        <v>575</v>
      </c>
      <c r="L34" s="22">
        <f>(C34*$B$4)+(B34*$B$2*$B$5)</f>
        <v>1750</v>
      </c>
      <c r="M34" s="22">
        <f>K34+L34</f>
        <v>2325</v>
      </c>
      <c r="N34" s="23">
        <v>749</v>
      </c>
      <c r="O34" s="20" t="s">
        <v>172</v>
      </c>
      <c r="P34" s="23">
        <v>749</v>
      </c>
      <c r="Q34" s="22">
        <v>245</v>
      </c>
      <c r="R34" s="21">
        <f>MAX(0,B34*$B$3-500)*0.45</f>
        <v>855</v>
      </c>
      <c r="S34" s="21">
        <f>Q34+R34</f>
        <v>1100</v>
      </c>
      <c r="T34" s="24">
        <f>MIN(50+MAX(0,B34*$B$2-500)*0.25,135+MAX(0,B34*$B$2-2000)*0.2,725+MAX(0,B34*$B$2-20000)*0.15)</f>
        <v>135</v>
      </c>
      <c r="U34" s="24">
        <f>T34</f>
        <v>135</v>
      </c>
      <c r="V34" s="22">
        <v>500</v>
      </c>
      <c r="W34" s="22">
        <f>MAX(0,B34*$B$2-50)*1</f>
        <v>950</v>
      </c>
      <c r="X34" s="22">
        <f>V34+W34</f>
        <v>1450</v>
      </c>
      <c r="Y34" s="25" t="str">
        <f>IF(MIN(IFERROR(G34,999999),J34,M34,P34,S34,U34,X34)=U34,"Hay",IF(MIN(IFERROR(G34,999999),J34,M34,P34,S34,U34,X34)=S34,"Freshdesk",IF(MIN(IFERROR(G34,999999),J34,M34,P34,S34,U34,X34)=P34,"Tidio",IF(MIN(IFERROR(G34,999999),J34,M34,P34,S34,U34,X34)=IFERROR(G34,999999),"Gorgias",IF(MIN(IFERROR(G34,999999),J34,M34,P34,S34,U34,X34)=J34,"Intercom",IF(MIN(IFERROR(G34,999999),J34,M34,P34,S34,U34,X34)=X34,"HubSpot","Zendesk"))))))</f>
        <v>Hay</v>
      </c>
      <c r="Z34" s="26">
        <f>ROUND(MIN(IFERROR(G34,999999),J34,M34,P34,S34,U34,X34)/(B34*$B$2),2)</f>
        <v>0.14000000000000001</v>
      </c>
    </row>
    <row r="35" spans="1:26" ht="15" customHeight="1" x14ac:dyDescent="0.2">
      <c r="A35" s="20">
        <v>22</v>
      </c>
      <c r="B35" s="21">
        <v>2000</v>
      </c>
      <c r="C35" s="20">
        <v>5</v>
      </c>
      <c r="D35" s="20" t="s">
        <v>173</v>
      </c>
      <c r="E35" s="22">
        <v>300</v>
      </c>
      <c r="F35" s="22">
        <v>0</v>
      </c>
      <c r="G35" s="22">
        <v>300</v>
      </c>
      <c r="H35" s="22">
        <v>495</v>
      </c>
      <c r="I35" s="22">
        <v>0</v>
      </c>
      <c r="J35" s="22">
        <v>495</v>
      </c>
      <c r="K35" s="22">
        <v>575</v>
      </c>
      <c r="L35" s="22">
        <v>0</v>
      </c>
      <c r="M35" s="22">
        <v>575</v>
      </c>
      <c r="N35" s="23">
        <v>32.5</v>
      </c>
      <c r="O35" s="20" t="s">
        <v>172</v>
      </c>
      <c r="P35" s="23">
        <v>32.5</v>
      </c>
      <c r="Q35" s="22">
        <v>245</v>
      </c>
      <c r="R35" s="21">
        <v>0</v>
      </c>
      <c r="S35" s="21">
        <v>245</v>
      </c>
      <c r="T35" s="20" t="s">
        <v>174</v>
      </c>
      <c r="U35" s="20" t="s">
        <v>174</v>
      </c>
      <c r="V35" s="22">
        <v>500</v>
      </c>
      <c r="W35" s="22">
        <v>0</v>
      </c>
      <c r="X35" s="22">
        <v>500</v>
      </c>
      <c r="Y35" s="6" t="s">
        <v>175</v>
      </c>
      <c r="Z35" t="s">
        <v>175</v>
      </c>
    </row>
    <row r="36" spans="1:26" ht="15" customHeight="1" x14ac:dyDescent="0.2">
      <c r="A36" s="20">
        <v>23</v>
      </c>
      <c r="B36" s="21">
        <v>2000</v>
      </c>
      <c r="C36" s="20">
        <v>10</v>
      </c>
      <c r="D36" s="20" t="s">
        <v>171</v>
      </c>
      <c r="E36" s="22">
        <v>300</v>
      </c>
      <c r="F36" s="22">
        <f>IF(B36&gt;=10000,"TTS",B36*$B$2*1)</f>
        <v>1000</v>
      </c>
      <c r="G36" s="22">
        <f>IF(B36&gt;=10000,"TTS",E36+F36)</f>
        <v>1300</v>
      </c>
      <c r="H36" s="22">
        <v>990</v>
      </c>
      <c r="I36" s="22">
        <f>B36*$B$2*0.99</f>
        <v>990</v>
      </c>
      <c r="J36" s="22">
        <f>H36+I36</f>
        <v>1980</v>
      </c>
      <c r="K36" s="22">
        <v>1150</v>
      </c>
      <c r="L36" s="22">
        <f>(C36*$B$4)+(B36*$B$2*$B$5)</f>
        <v>2000</v>
      </c>
      <c r="M36" s="22">
        <f>K36+L36</f>
        <v>3150</v>
      </c>
      <c r="N36" s="23">
        <v>749</v>
      </c>
      <c r="O36" s="20" t="s">
        <v>172</v>
      </c>
      <c r="P36" s="23">
        <v>749</v>
      </c>
      <c r="Q36" s="22">
        <v>490</v>
      </c>
      <c r="R36" s="21">
        <f>MAX(0,B36*$B$3-500)*0.45</f>
        <v>855</v>
      </c>
      <c r="S36" s="21">
        <f>Q36+R36</f>
        <v>1345</v>
      </c>
      <c r="T36" s="24">
        <f>MIN(50+MAX(0,B36*$B$2-500)*0.25,135+MAX(0,B36*$B$2-2000)*0.2,725+MAX(0,B36*$B$2-20000)*0.15)</f>
        <v>135</v>
      </c>
      <c r="U36" s="24">
        <f>T36</f>
        <v>135</v>
      </c>
      <c r="V36" s="22">
        <v>1000</v>
      </c>
      <c r="W36" s="22">
        <f>MAX(0,B36*$B$2-50)*1</f>
        <v>950</v>
      </c>
      <c r="X36" s="22">
        <f>V36+W36</f>
        <v>1950</v>
      </c>
      <c r="Y36" s="25" t="str">
        <f>IF(MIN(IFERROR(G36,999999),J36,M36,P36,S36,U36,X36)=U36,"Hay",IF(MIN(IFERROR(G36,999999),J36,M36,P36,S36,U36,X36)=S36,"Freshdesk",IF(MIN(IFERROR(G36,999999),J36,M36,P36,S36,U36,X36)=P36,"Tidio",IF(MIN(IFERROR(G36,999999),J36,M36,P36,S36,U36,X36)=IFERROR(G36,999999),"Gorgias",IF(MIN(IFERROR(G36,999999),J36,M36,P36,S36,U36,X36)=J36,"Intercom",IF(MIN(IFERROR(G36,999999),J36,M36,P36,S36,U36,X36)=X36,"HubSpot","Zendesk"))))))</f>
        <v>Hay</v>
      </c>
      <c r="Z36" s="26">
        <f>ROUND(MIN(IFERROR(G36,999999),J36,M36,P36,S36,U36,X36)/(B36*$B$2),2)</f>
        <v>0.14000000000000001</v>
      </c>
    </row>
    <row r="37" spans="1:26" ht="15" customHeight="1" x14ac:dyDescent="0.2">
      <c r="A37" s="20">
        <v>24</v>
      </c>
      <c r="B37" s="21">
        <v>2000</v>
      </c>
      <c r="C37" s="20">
        <v>10</v>
      </c>
      <c r="D37" s="20" t="s">
        <v>173</v>
      </c>
      <c r="E37" s="22">
        <v>300</v>
      </c>
      <c r="F37" s="22">
        <v>0</v>
      </c>
      <c r="G37" s="22">
        <v>300</v>
      </c>
      <c r="H37" s="22">
        <v>990</v>
      </c>
      <c r="I37" s="22">
        <v>0</v>
      </c>
      <c r="J37" s="22">
        <v>990</v>
      </c>
      <c r="K37" s="22">
        <v>1150</v>
      </c>
      <c r="L37" s="22">
        <v>0</v>
      </c>
      <c r="M37" s="22">
        <v>1150</v>
      </c>
      <c r="N37" s="23">
        <v>32.5</v>
      </c>
      <c r="O37" s="20" t="s">
        <v>172</v>
      </c>
      <c r="P37" s="23">
        <v>32.5</v>
      </c>
      <c r="Q37" s="22">
        <v>490</v>
      </c>
      <c r="R37" s="21">
        <v>0</v>
      </c>
      <c r="S37" s="21">
        <v>490</v>
      </c>
      <c r="T37" s="20" t="s">
        <v>174</v>
      </c>
      <c r="U37" s="20" t="s">
        <v>174</v>
      </c>
      <c r="V37" s="22">
        <v>1000</v>
      </c>
      <c r="W37" s="22">
        <v>0</v>
      </c>
      <c r="X37" s="22">
        <v>1000</v>
      </c>
      <c r="Y37" s="6" t="s">
        <v>175</v>
      </c>
      <c r="Z37" t="s">
        <v>175</v>
      </c>
    </row>
    <row r="39" spans="1:26" ht="15" customHeight="1" x14ac:dyDescent="0.2">
      <c r="A39" s="20">
        <v>25</v>
      </c>
      <c r="B39" s="21">
        <v>5000</v>
      </c>
      <c r="C39" s="20">
        <v>1</v>
      </c>
      <c r="D39" s="20" t="s">
        <v>171</v>
      </c>
      <c r="E39" s="22">
        <v>750</v>
      </c>
      <c r="F39" s="22">
        <f>IF(B39&gt;=10000,"TTS",B39*$B$2*1)</f>
        <v>2500</v>
      </c>
      <c r="G39" s="22">
        <f>IF(B39&gt;=10000,"TTS",E39+F39)</f>
        <v>3250</v>
      </c>
      <c r="H39" s="22">
        <v>99</v>
      </c>
      <c r="I39" s="22">
        <f>B39*$B$2*0.99</f>
        <v>2475</v>
      </c>
      <c r="J39" s="22">
        <f>H39+I39</f>
        <v>2574</v>
      </c>
      <c r="K39" s="22">
        <v>115</v>
      </c>
      <c r="L39" s="22">
        <f>(C39*$B$4)+(B39*$B$2*$B$5)</f>
        <v>3800</v>
      </c>
      <c r="M39" s="22">
        <f>K39+L39</f>
        <v>3915</v>
      </c>
      <c r="N39" s="23">
        <v>749</v>
      </c>
      <c r="O39" s="20" t="s">
        <v>172</v>
      </c>
      <c r="P39" s="23">
        <v>749</v>
      </c>
      <c r="Q39" s="22">
        <v>49</v>
      </c>
      <c r="R39" s="21">
        <f>MAX(0,B39*$B$3-500)*0.45</f>
        <v>2475</v>
      </c>
      <c r="S39" s="21">
        <f>Q39+R39</f>
        <v>2524</v>
      </c>
      <c r="T39" s="24">
        <f>MIN(50+MAX(0,B39*$B$2-500)*0.25,135+MAX(0,B39*$B$2-2000)*0.2,725+MAX(0,B39*$B$2-20000)*0.15)</f>
        <v>235</v>
      </c>
      <c r="U39" s="24">
        <f>T39</f>
        <v>235</v>
      </c>
      <c r="V39" s="22">
        <v>100</v>
      </c>
      <c r="W39" s="22">
        <f>MAX(0,B39*$B$2-50)*1</f>
        <v>2450</v>
      </c>
      <c r="X39" s="22">
        <f>V39+W39</f>
        <v>2550</v>
      </c>
      <c r="Y39" s="25" t="str">
        <f>IF(MIN(IFERROR(G39,999999),J39,M39,P39,S39,U39,X39)=U39,"Hay",IF(MIN(IFERROR(G39,999999),J39,M39,P39,S39,U39,X39)=S39,"Freshdesk",IF(MIN(IFERROR(G39,999999),J39,M39,P39,S39,U39,X39)=P39,"Tidio",IF(MIN(IFERROR(G39,999999),J39,M39,P39,S39,U39,X39)=IFERROR(G39,999999),"Gorgias",IF(MIN(IFERROR(G39,999999),J39,M39,P39,S39,U39,X39)=J39,"Intercom",IF(MIN(IFERROR(G39,999999),J39,M39,P39,S39,U39,X39)=X39,"HubSpot","Zendesk"))))))</f>
        <v>Hay</v>
      </c>
      <c r="Z39" s="26">
        <f>ROUND(MIN(IFERROR(G39,999999),J39,M39,P39,S39,U39,X39)/(B39*$B$2),2)</f>
        <v>0.09</v>
      </c>
    </row>
    <row r="40" spans="1:26" ht="15" customHeight="1" x14ac:dyDescent="0.2">
      <c r="A40" s="20">
        <v>26</v>
      </c>
      <c r="B40" s="21">
        <v>5000</v>
      </c>
      <c r="C40" s="20">
        <v>1</v>
      </c>
      <c r="D40" s="20" t="s">
        <v>173</v>
      </c>
      <c r="E40" s="22">
        <v>750</v>
      </c>
      <c r="F40" s="22">
        <v>0</v>
      </c>
      <c r="G40" s="22">
        <v>750</v>
      </c>
      <c r="H40" s="22">
        <v>99</v>
      </c>
      <c r="I40" s="22">
        <v>0</v>
      </c>
      <c r="J40" s="22">
        <v>99</v>
      </c>
      <c r="K40" s="22">
        <v>115</v>
      </c>
      <c r="L40" s="22">
        <v>0</v>
      </c>
      <c r="M40" s="22">
        <v>115</v>
      </c>
      <c r="N40" s="23">
        <v>32.5</v>
      </c>
      <c r="O40" s="20" t="s">
        <v>172</v>
      </c>
      <c r="P40" s="23">
        <v>32.5</v>
      </c>
      <c r="Q40" s="22">
        <v>49</v>
      </c>
      <c r="R40" s="21">
        <v>0</v>
      </c>
      <c r="S40" s="21">
        <v>49</v>
      </c>
      <c r="T40" s="20" t="s">
        <v>174</v>
      </c>
      <c r="U40" s="20" t="s">
        <v>174</v>
      </c>
      <c r="V40" s="22">
        <v>100</v>
      </c>
      <c r="W40" s="22">
        <v>0</v>
      </c>
      <c r="X40" s="22">
        <v>100</v>
      </c>
      <c r="Y40" s="6" t="s">
        <v>175</v>
      </c>
      <c r="Z40" t="s">
        <v>175</v>
      </c>
    </row>
    <row r="41" spans="1:26" ht="15" customHeight="1" x14ac:dyDescent="0.2">
      <c r="A41" s="20">
        <v>27</v>
      </c>
      <c r="B41" s="21">
        <v>5000</v>
      </c>
      <c r="C41" s="20">
        <v>3</v>
      </c>
      <c r="D41" s="20" t="s">
        <v>171</v>
      </c>
      <c r="E41" s="22">
        <v>750</v>
      </c>
      <c r="F41" s="22">
        <f>IF(B41&gt;=10000,"TTS",B41*$B$2*1)</f>
        <v>2500</v>
      </c>
      <c r="G41" s="22">
        <f>IF(B41&gt;=10000,"TTS",E41+F41)</f>
        <v>3250</v>
      </c>
      <c r="H41" s="22">
        <v>297</v>
      </c>
      <c r="I41" s="22">
        <f>B41*$B$2*0.99</f>
        <v>2475</v>
      </c>
      <c r="J41" s="22">
        <f>H41+I41</f>
        <v>2772</v>
      </c>
      <c r="K41" s="22">
        <v>345</v>
      </c>
      <c r="L41" s="22">
        <f>(C41*$B$4)+(B41*$B$2*$B$5)</f>
        <v>3900</v>
      </c>
      <c r="M41" s="22">
        <f>K41+L41</f>
        <v>4245</v>
      </c>
      <c r="N41" s="23">
        <v>749</v>
      </c>
      <c r="O41" s="20" t="s">
        <v>172</v>
      </c>
      <c r="P41" s="23">
        <v>749</v>
      </c>
      <c r="Q41" s="22">
        <v>147</v>
      </c>
      <c r="R41" s="21">
        <f>MAX(0,B41*$B$3-500)*0.45</f>
        <v>2475</v>
      </c>
      <c r="S41" s="21">
        <f>Q41+R41</f>
        <v>2622</v>
      </c>
      <c r="T41" s="24">
        <f>MIN(50+MAX(0,B41*$B$2-500)*0.25,135+MAX(0,B41*$B$2-2000)*0.2,725+MAX(0,B41*$B$2-20000)*0.15)</f>
        <v>235</v>
      </c>
      <c r="U41" s="24">
        <f>T41</f>
        <v>235</v>
      </c>
      <c r="V41" s="22">
        <v>300</v>
      </c>
      <c r="W41" s="22">
        <f>MAX(0,B41*$B$2-50)*1</f>
        <v>2450</v>
      </c>
      <c r="X41" s="22">
        <f>V41+W41</f>
        <v>2750</v>
      </c>
      <c r="Y41" s="25" t="str">
        <f>IF(MIN(IFERROR(G41,999999),J41,M41,P41,S41,U41,X41)=U41,"Hay",IF(MIN(IFERROR(G41,999999),J41,M41,P41,S41,U41,X41)=S41,"Freshdesk",IF(MIN(IFERROR(G41,999999),J41,M41,P41,S41,U41,X41)=P41,"Tidio",IF(MIN(IFERROR(G41,999999),J41,M41,P41,S41,U41,X41)=IFERROR(G41,999999),"Gorgias",IF(MIN(IFERROR(G41,999999),J41,M41,P41,S41,U41,X41)=J41,"Intercom",IF(MIN(IFERROR(G41,999999),J41,M41,P41,S41,U41,X41)=X41,"HubSpot","Zendesk"))))))</f>
        <v>Hay</v>
      </c>
      <c r="Z41" s="26">
        <f>ROUND(MIN(IFERROR(G41,999999),J41,M41,P41,S41,U41,X41)/(B41*$B$2),2)</f>
        <v>0.09</v>
      </c>
    </row>
    <row r="42" spans="1:26" ht="15" customHeight="1" x14ac:dyDescent="0.2">
      <c r="A42" s="20">
        <v>28</v>
      </c>
      <c r="B42" s="21">
        <v>5000</v>
      </c>
      <c r="C42" s="20">
        <v>3</v>
      </c>
      <c r="D42" s="20" t="s">
        <v>173</v>
      </c>
      <c r="E42" s="22">
        <v>750</v>
      </c>
      <c r="F42" s="22">
        <v>0</v>
      </c>
      <c r="G42" s="22">
        <v>750</v>
      </c>
      <c r="H42" s="22">
        <v>297</v>
      </c>
      <c r="I42" s="22">
        <v>0</v>
      </c>
      <c r="J42" s="22">
        <v>297</v>
      </c>
      <c r="K42" s="22">
        <v>345</v>
      </c>
      <c r="L42" s="22">
        <v>0</v>
      </c>
      <c r="M42" s="22">
        <v>345</v>
      </c>
      <c r="N42" s="23">
        <v>32.5</v>
      </c>
      <c r="O42" s="20" t="s">
        <v>172</v>
      </c>
      <c r="P42" s="23">
        <v>32.5</v>
      </c>
      <c r="Q42" s="22">
        <v>147</v>
      </c>
      <c r="R42" s="21">
        <v>0</v>
      </c>
      <c r="S42" s="21">
        <v>147</v>
      </c>
      <c r="T42" s="20" t="s">
        <v>174</v>
      </c>
      <c r="U42" s="20" t="s">
        <v>174</v>
      </c>
      <c r="V42" s="22">
        <v>300</v>
      </c>
      <c r="W42" s="22">
        <v>0</v>
      </c>
      <c r="X42" s="22">
        <v>300</v>
      </c>
      <c r="Y42" s="6" t="s">
        <v>175</v>
      </c>
      <c r="Z42" t="s">
        <v>175</v>
      </c>
    </row>
    <row r="43" spans="1:26" ht="15" customHeight="1" x14ac:dyDescent="0.2">
      <c r="A43" s="20">
        <v>29</v>
      </c>
      <c r="B43" s="21">
        <v>5000</v>
      </c>
      <c r="C43" s="20">
        <v>5</v>
      </c>
      <c r="D43" s="20" t="s">
        <v>171</v>
      </c>
      <c r="E43" s="22">
        <v>750</v>
      </c>
      <c r="F43" s="22">
        <f>IF(B43&gt;=10000,"TTS",B43*$B$2*1)</f>
        <v>2500</v>
      </c>
      <c r="G43" s="22">
        <f>IF(B43&gt;=10000,"TTS",E43+F43)</f>
        <v>3250</v>
      </c>
      <c r="H43" s="22">
        <v>495</v>
      </c>
      <c r="I43" s="22">
        <f>B43*$B$2*0.99</f>
        <v>2475</v>
      </c>
      <c r="J43" s="22">
        <f>H43+I43</f>
        <v>2970</v>
      </c>
      <c r="K43" s="22">
        <v>575</v>
      </c>
      <c r="L43" s="22">
        <f>(C43*$B$4)+(B43*$B$2*$B$5)</f>
        <v>4000</v>
      </c>
      <c r="M43" s="22">
        <f>K43+L43</f>
        <v>4575</v>
      </c>
      <c r="N43" s="23">
        <v>749</v>
      </c>
      <c r="O43" s="20" t="s">
        <v>172</v>
      </c>
      <c r="P43" s="23">
        <v>749</v>
      </c>
      <c r="Q43" s="22">
        <v>245</v>
      </c>
      <c r="R43" s="21">
        <f>MAX(0,B43*$B$3-500)*0.45</f>
        <v>2475</v>
      </c>
      <c r="S43" s="21">
        <f>Q43+R43</f>
        <v>2720</v>
      </c>
      <c r="T43" s="24">
        <f>MIN(50+MAX(0,B43*$B$2-500)*0.25,135+MAX(0,B43*$B$2-2000)*0.2,725+MAX(0,B43*$B$2-20000)*0.15)</f>
        <v>235</v>
      </c>
      <c r="U43" s="24">
        <f>T43</f>
        <v>235</v>
      </c>
      <c r="V43" s="22">
        <v>500</v>
      </c>
      <c r="W43" s="22">
        <f>MAX(0,B43*$B$2-50)*1</f>
        <v>2450</v>
      </c>
      <c r="X43" s="22">
        <f>V43+W43</f>
        <v>2950</v>
      </c>
      <c r="Y43" s="25" t="str">
        <f>IF(MIN(IFERROR(G43,999999),J43,M43,P43,S43,U43,X43)=U43,"Hay",IF(MIN(IFERROR(G43,999999),J43,M43,P43,S43,U43,X43)=S43,"Freshdesk",IF(MIN(IFERROR(G43,999999),J43,M43,P43,S43,U43,X43)=P43,"Tidio",IF(MIN(IFERROR(G43,999999),J43,M43,P43,S43,U43,X43)=IFERROR(G43,999999),"Gorgias",IF(MIN(IFERROR(G43,999999),J43,M43,P43,S43,U43,X43)=J43,"Intercom",IF(MIN(IFERROR(G43,999999),J43,M43,P43,S43,U43,X43)=X43,"HubSpot","Zendesk"))))))</f>
        <v>Hay</v>
      </c>
      <c r="Z43" s="26">
        <f>ROUND(MIN(IFERROR(G43,999999),J43,M43,P43,S43,U43,X43)/(B43*$B$2),2)</f>
        <v>0.09</v>
      </c>
    </row>
    <row r="44" spans="1:26" ht="15" customHeight="1" x14ac:dyDescent="0.2">
      <c r="A44" s="20">
        <v>30</v>
      </c>
      <c r="B44" s="21">
        <v>5000</v>
      </c>
      <c r="C44" s="20">
        <v>5</v>
      </c>
      <c r="D44" s="20" t="s">
        <v>173</v>
      </c>
      <c r="E44" s="22">
        <v>750</v>
      </c>
      <c r="F44" s="22">
        <v>0</v>
      </c>
      <c r="G44" s="22">
        <v>750</v>
      </c>
      <c r="H44" s="22">
        <v>495</v>
      </c>
      <c r="I44" s="22">
        <v>0</v>
      </c>
      <c r="J44" s="22">
        <v>495</v>
      </c>
      <c r="K44" s="22">
        <v>575</v>
      </c>
      <c r="L44" s="22">
        <v>0</v>
      </c>
      <c r="M44" s="22">
        <v>575</v>
      </c>
      <c r="N44" s="23">
        <v>32.5</v>
      </c>
      <c r="O44" s="20" t="s">
        <v>172</v>
      </c>
      <c r="P44" s="23">
        <v>32.5</v>
      </c>
      <c r="Q44" s="22">
        <v>245</v>
      </c>
      <c r="R44" s="21">
        <v>0</v>
      </c>
      <c r="S44" s="21">
        <v>245</v>
      </c>
      <c r="T44" s="20" t="s">
        <v>174</v>
      </c>
      <c r="U44" s="20" t="s">
        <v>174</v>
      </c>
      <c r="V44" s="22">
        <v>500</v>
      </c>
      <c r="W44" s="22">
        <v>0</v>
      </c>
      <c r="X44" s="22">
        <v>500</v>
      </c>
      <c r="Y44" s="6" t="s">
        <v>175</v>
      </c>
      <c r="Z44" t="s">
        <v>175</v>
      </c>
    </row>
    <row r="45" spans="1:26" ht="15" customHeight="1" x14ac:dyDescent="0.2">
      <c r="A45" s="20">
        <v>31</v>
      </c>
      <c r="B45" s="21">
        <v>5000</v>
      </c>
      <c r="C45" s="20">
        <v>10</v>
      </c>
      <c r="D45" s="20" t="s">
        <v>171</v>
      </c>
      <c r="E45" s="22">
        <v>750</v>
      </c>
      <c r="F45" s="22">
        <f>IF(B45&gt;=10000,"TTS",B45*$B$2*1)</f>
        <v>2500</v>
      </c>
      <c r="G45" s="22">
        <f>IF(B45&gt;=10000,"TTS",E45+F45)</f>
        <v>3250</v>
      </c>
      <c r="H45" s="22">
        <v>990</v>
      </c>
      <c r="I45" s="22">
        <f>B45*$B$2*0.99</f>
        <v>2475</v>
      </c>
      <c r="J45" s="22">
        <f>H45+I45</f>
        <v>3465</v>
      </c>
      <c r="K45" s="22">
        <v>1150</v>
      </c>
      <c r="L45" s="22">
        <f>(C45*$B$4)+(B45*$B$2*$B$5)</f>
        <v>4250</v>
      </c>
      <c r="M45" s="22">
        <f>K45+L45</f>
        <v>5400</v>
      </c>
      <c r="N45" s="23">
        <v>749</v>
      </c>
      <c r="O45" s="20" t="s">
        <v>172</v>
      </c>
      <c r="P45" s="23">
        <v>749</v>
      </c>
      <c r="Q45" s="22">
        <v>490</v>
      </c>
      <c r="R45" s="21">
        <f>MAX(0,B45*$B$3-500)*0.45</f>
        <v>2475</v>
      </c>
      <c r="S45" s="21">
        <f>Q45+R45</f>
        <v>2965</v>
      </c>
      <c r="T45" s="24">
        <f>MIN(50+MAX(0,B45*$B$2-500)*0.25,135+MAX(0,B45*$B$2-2000)*0.2,725+MAX(0,B45*$B$2-20000)*0.15)</f>
        <v>235</v>
      </c>
      <c r="U45" s="24">
        <f>T45</f>
        <v>235</v>
      </c>
      <c r="V45" s="22">
        <v>1000</v>
      </c>
      <c r="W45" s="22">
        <f>MAX(0,B45*$B$2-50)*1</f>
        <v>2450</v>
      </c>
      <c r="X45" s="22">
        <f>V45+W45</f>
        <v>3450</v>
      </c>
      <c r="Y45" s="25" t="str">
        <f>IF(MIN(IFERROR(G45,999999),J45,M45,P45,S45,U45,X45)=U45,"Hay",IF(MIN(IFERROR(G45,999999),J45,M45,P45,S45,U45,X45)=S45,"Freshdesk",IF(MIN(IFERROR(G45,999999),J45,M45,P45,S45,U45,X45)=P45,"Tidio",IF(MIN(IFERROR(G45,999999),J45,M45,P45,S45,U45,X45)=IFERROR(G45,999999),"Gorgias",IF(MIN(IFERROR(G45,999999),J45,M45,P45,S45,U45,X45)=J45,"Intercom",IF(MIN(IFERROR(G45,999999),J45,M45,P45,S45,U45,X45)=X45,"HubSpot","Zendesk"))))))</f>
        <v>Hay</v>
      </c>
      <c r="Z45" s="26">
        <f>ROUND(MIN(IFERROR(G45,999999),J45,M45,P45,S45,U45,X45)/(B45*$B$2),2)</f>
        <v>0.09</v>
      </c>
    </row>
    <row r="46" spans="1:26" ht="15" customHeight="1" x14ac:dyDescent="0.2">
      <c r="A46" s="20">
        <v>32</v>
      </c>
      <c r="B46" s="21">
        <v>5000</v>
      </c>
      <c r="C46" s="20">
        <v>10</v>
      </c>
      <c r="D46" s="20" t="s">
        <v>173</v>
      </c>
      <c r="E46" s="22">
        <v>750</v>
      </c>
      <c r="F46" s="22">
        <v>0</v>
      </c>
      <c r="G46" s="22">
        <v>750</v>
      </c>
      <c r="H46" s="22">
        <v>990</v>
      </c>
      <c r="I46" s="22">
        <v>0</v>
      </c>
      <c r="J46" s="22">
        <v>990</v>
      </c>
      <c r="K46" s="22">
        <v>1150</v>
      </c>
      <c r="L46" s="22">
        <v>0</v>
      </c>
      <c r="M46" s="22">
        <v>1150</v>
      </c>
      <c r="N46" s="23">
        <v>32.5</v>
      </c>
      <c r="O46" s="20" t="s">
        <v>172</v>
      </c>
      <c r="P46" s="23">
        <v>32.5</v>
      </c>
      <c r="Q46" s="22">
        <v>490</v>
      </c>
      <c r="R46" s="21">
        <v>0</v>
      </c>
      <c r="S46" s="21">
        <v>490</v>
      </c>
      <c r="T46" s="20" t="s">
        <v>174</v>
      </c>
      <c r="U46" s="20" t="s">
        <v>174</v>
      </c>
      <c r="V46" s="22">
        <v>1000</v>
      </c>
      <c r="W46" s="22">
        <v>0</v>
      </c>
      <c r="X46" s="22">
        <v>1000</v>
      </c>
      <c r="Y46" s="6" t="s">
        <v>175</v>
      </c>
      <c r="Z46" t="s">
        <v>175</v>
      </c>
    </row>
    <row r="48" spans="1:26" ht="15" customHeight="1" x14ac:dyDescent="0.2">
      <c r="A48" s="20">
        <v>33</v>
      </c>
      <c r="B48" s="21">
        <v>10000</v>
      </c>
      <c r="C48" s="20">
        <v>1</v>
      </c>
      <c r="D48" s="20" t="s">
        <v>171</v>
      </c>
      <c r="E48" s="20" t="s">
        <v>176</v>
      </c>
      <c r="F48" s="20" t="str">
        <f>IF(B48&gt;=10000,"TTS",B48*$B$2*1)</f>
        <v>TTS</v>
      </c>
      <c r="G48" s="20" t="str">
        <f>IF(B48&gt;=10000,"TTS",E48+F48)</f>
        <v>TTS</v>
      </c>
      <c r="H48" s="22">
        <v>99</v>
      </c>
      <c r="I48" s="22">
        <f>B48*$B$2*0.99</f>
        <v>4950</v>
      </c>
      <c r="J48" s="22">
        <f>H48+I48</f>
        <v>5049</v>
      </c>
      <c r="K48" s="22">
        <v>115</v>
      </c>
      <c r="L48" s="22">
        <f>(C48*$B$4)+(B48*$B$2*$B$5)</f>
        <v>7550</v>
      </c>
      <c r="M48" s="22">
        <f>K48+L48</f>
        <v>7665</v>
      </c>
      <c r="N48" s="23">
        <v>749</v>
      </c>
      <c r="O48" s="20" t="s">
        <v>172</v>
      </c>
      <c r="P48" s="23">
        <v>749</v>
      </c>
      <c r="Q48" s="22">
        <v>49</v>
      </c>
      <c r="R48" s="21">
        <f>MAX(0,B48*$B$3-500)*0.45</f>
        <v>5175</v>
      </c>
      <c r="S48" s="21">
        <f>Q48+R48</f>
        <v>5224</v>
      </c>
      <c r="T48" s="24">
        <f>MIN(50+MAX(0,B48*$B$2-500)*0.25,135+MAX(0,B48*$B$2-2000)*0.2,725+MAX(0,B48*$B$2-20000)*0.15)</f>
        <v>725</v>
      </c>
      <c r="U48" s="24">
        <f>T48</f>
        <v>725</v>
      </c>
      <c r="V48" s="22">
        <v>100</v>
      </c>
      <c r="W48" s="22">
        <f>MAX(0,B48*$B$2-50)*1</f>
        <v>4950</v>
      </c>
      <c r="X48" s="22">
        <f>V48+W48</f>
        <v>5050</v>
      </c>
      <c r="Y48" s="25" t="str">
        <f>IF(MIN(J48,M48,P48,S48,U48,X48)=U48,"Hay",IF(MIN(J48,M48,P48,S48,U48,X48)=S48,"Freshdesk",IF(MIN(J48,M48,P48,S48,U48,X48)=P48,"Tidio",IF(MIN(J48,M48,P48,S48,U48,X48)=J48,"Intercom",IF(MIN(J48,M48,P48,S48,U48,X48)=X48,"HubSpot","Zendesk")))))</f>
        <v>Hay</v>
      </c>
      <c r="Z48" s="26">
        <f>ROUND(MIN(J48,M48,P48,S48,U48,X48)/(B48*$B$2),2)</f>
        <v>0.15</v>
      </c>
    </row>
    <row r="49" spans="1:26" ht="15" customHeight="1" x14ac:dyDescent="0.2">
      <c r="A49" s="20">
        <v>34</v>
      </c>
      <c r="B49" s="21">
        <v>10000</v>
      </c>
      <c r="C49" s="20">
        <v>1</v>
      </c>
      <c r="D49" s="20" t="s">
        <v>173</v>
      </c>
      <c r="E49" s="20" t="s">
        <v>176</v>
      </c>
      <c r="F49" s="20" t="s">
        <v>176</v>
      </c>
      <c r="G49" s="20" t="s">
        <v>176</v>
      </c>
      <c r="H49" s="22">
        <v>99</v>
      </c>
      <c r="I49" s="22">
        <v>0</v>
      </c>
      <c r="J49" s="22">
        <v>99</v>
      </c>
      <c r="K49" s="22">
        <v>115</v>
      </c>
      <c r="L49" s="22">
        <v>0</v>
      </c>
      <c r="M49" s="22">
        <v>115</v>
      </c>
      <c r="N49" s="23">
        <v>32.5</v>
      </c>
      <c r="O49" s="20" t="s">
        <v>172</v>
      </c>
      <c r="P49" s="23">
        <v>32.5</v>
      </c>
      <c r="Q49" s="22">
        <v>49</v>
      </c>
      <c r="R49" s="21">
        <v>0</v>
      </c>
      <c r="S49" s="21">
        <v>49</v>
      </c>
      <c r="T49" s="20" t="s">
        <v>174</v>
      </c>
      <c r="U49" s="20" t="s">
        <v>174</v>
      </c>
      <c r="V49" s="22">
        <v>100</v>
      </c>
      <c r="W49" s="22">
        <v>0</v>
      </c>
      <c r="X49" s="22">
        <v>100</v>
      </c>
      <c r="Y49" s="6" t="s">
        <v>175</v>
      </c>
      <c r="Z49" t="s">
        <v>175</v>
      </c>
    </row>
    <row r="50" spans="1:26" ht="15" customHeight="1" x14ac:dyDescent="0.2">
      <c r="A50" s="20">
        <v>35</v>
      </c>
      <c r="B50" s="21">
        <v>10000</v>
      </c>
      <c r="C50" s="20">
        <v>3</v>
      </c>
      <c r="D50" s="20" t="s">
        <v>171</v>
      </c>
      <c r="E50" s="20" t="s">
        <v>176</v>
      </c>
      <c r="F50" s="20" t="str">
        <f>IF(B50&gt;=10000,"TTS",B50*$B$2*1)</f>
        <v>TTS</v>
      </c>
      <c r="G50" s="20" t="str">
        <f>IF(B50&gt;=10000,"TTS",E50+F50)</f>
        <v>TTS</v>
      </c>
      <c r="H50" s="22">
        <v>297</v>
      </c>
      <c r="I50" s="22">
        <f>B50*$B$2*0.99</f>
        <v>4950</v>
      </c>
      <c r="J50" s="22">
        <f>H50+I50</f>
        <v>5247</v>
      </c>
      <c r="K50" s="22">
        <v>345</v>
      </c>
      <c r="L50" s="22">
        <f>(C50*$B$4)+(B50*$B$2*$B$5)</f>
        <v>7650</v>
      </c>
      <c r="M50" s="22">
        <f>K50+L50</f>
        <v>7995</v>
      </c>
      <c r="N50" s="23">
        <v>749</v>
      </c>
      <c r="O50" s="20" t="s">
        <v>172</v>
      </c>
      <c r="P50" s="23">
        <v>749</v>
      </c>
      <c r="Q50" s="22">
        <v>147</v>
      </c>
      <c r="R50" s="21">
        <f>MAX(0,B50*$B$3-500)*0.45</f>
        <v>5175</v>
      </c>
      <c r="S50" s="21">
        <f>Q50+R50</f>
        <v>5322</v>
      </c>
      <c r="T50" s="24">
        <f>MIN(50+MAX(0,B50*$B$2-500)*0.25,135+MAX(0,B50*$B$2-2000)*0.2,725+MAX(0,B50*$B$2-20000)*0.15)</f>
        <v>725</v>
      </c>
      <c r="U50" s="24">
        <f>T50</f>
        <v>725</v>
      </c>
      <c r="V50" s="22">
        <v>300</v>
      </c>
      <c r="W50" s="22">
        <f>MAX(0,B50*$B$2-50)*1</f>
        <v>4950</v>
      </c>
      <c r="X50" s="22">
        <f>V50+W50</f>
        <v>5250</v>
      </c>
      <c r="Y50" s="25" t="str">
        <f>IF(MIN(J50,M50,P50,S50,U50,X50)=U50,"Hay",IF(MIN(J50,M50,P50,S50,U50,X50)=S50,"Freshdesk",IF(MIN(J50,M50,P50,S50,U50,X50)=P50,"Tidio",IF(MIN(J50,M50,P50,S50,U50,X50)=J50,"Intercom",IF(MIN(J50,M50,P50,S50,U50,X50)=X50,"HubSpot","Zendesk")))))</f>
        <v>Hay</v>
      </c>
      <c r="Z50" s="26">
        <f>ROUND(MIN(J50,M50,P50,S50,U50,X50)/(B50*$B$2),2)</f>
        <v>0.15</v>
      </c>
    </row>
    <row r="51" spans="1:26" ht="15" customHeight="1" x14ac:dyDescent="0.2">
      <c r="A51" s="20">
        <v>36</v>
      </c>
      <c r="B51" s="21">
        <v>10000</v>
      </c>
      <c r="C51" s="20">
        <v>3</v>
      </c>
      <c r="D51" s="20" t="s">
        <v>173</v>
      </c>
      <c r="E51" s="20" t="s">
        <v>176</v>
      </c>
      <c r="F51" s="20" t="s">
        <v>176</v>
      </c>
      <c r="G51" s="20" t="s">
        <v>176</v>
      </c>
      <c r="H51" s="22">
        <v>297</v>
      </c>
      <c r="I51" s="22">
        <v>0</v>
      </c>
      <c r="J51" s="22">
        <v>297</v>
      </c>
      <c r="K51" s="22">
        <v>345</v>
      </c>
      <c r="L51" s="22">
        <v>0</v>
      </c>
      <c r="M51" s="22">
        <v>345</v>
      </c>
      <c r="N51" s="23">
        <v>32.5</v>
      </c>
      <c r="O51" s="20" t="s">
        <v>172</v>
      </c>
      <c r="P51" s="23">
        <v>32.5</v>
      </c>
      <c r="Q51" s="22">
        <v>147</v>
      </c>
      <c r="R51" s="21">
        <v>0</v>
      </c>
      <c r="S51" s="21">
        <v>147</v>
      </c>
      <c r="T51" s="20" t="s">
        <v>174</v>
      </c>
      <c r="U51" s="20" t="s">
        <v>174</v>
      </c>
      <c r="V51" s="22">
        <v>300</v>
      </c>
      <c r="W51" s="22">
        <v>0</v>
      </c>
      <c r="X51" s="22">
        <v>300</v>
      </c>
      <c r="Y51" s="6" t="s">
        <v>175</v>
      </c>
      <c r="Z51" t="s">
        <v>175</v>
      </c>
    </row>
    <row r="52" spans="1:26" ht="15" customHeight="1" x14ac:dyDescent="0.2">
      <c r="A52" s="20">
        <v>37</v>
      </c>
      <c r="B52" s="21">
        <v>10000</v>
      </c>
      <c r="C52" s="20">
        <v>5</v>
      </c>
      <c r="D52" s="20" t="s">
        <v>171</v>
      </c>
      <c r="E52" s="20" t="s">
        <v>176</v>
      </c>
      <c r="F52" s="20" t="str">
        <f>IF(B52&gt;=10000,"TTS",B52*$B$2*1)</f>
        <v>TTS</v>
      </c>
      <c r="G52" s="20" t="str">
        <f>IF(B52&gt;=10000,"TTS",E52+F52)</f>
        <v>TTS</v>
      </c>
      <c r="H52" s="22">
        <v>495</v>
      </c>
      <c r="I52" s="22">
        <f>B52*$B$2*0.99</f>
        <v>4950</v>
      </c>
      <c r="J52" s="22">
        <f>H52+I52</f>
        <v>5445</v>
      </c>
      <c r="K52" s="22">
        <v>575</v>
      </c>
      <c r="L52" s="22">
        <f>(C52*$B$4)+(B52*$B$2*$B$5)</f>
        <v>7750</v>
      </c>
      <c r="M52" s="22">
        <f>K52+L52</f>
        <v>8325</v>
      </c>
      <c r="N52" s="23">
        <v>749</v>
      </c>
      <c r="O52" s="20" t="s">
        <v>172</v>
      </c>
      <c r="P52" s="23">
        <v>749</v>
      </c>
      <c r="Q52" s="22">
        <v>245</v>
      </c>
      <c r="R52" s="21">
        <f>MAX(0,B52*$B$3-500)*0.45</f>
        <v>5175</v>
      </c>
      <c r="S52" s="21">
        <f>Q52+R52</f>
        <v>5420</v>
      </c>
      <c r="T52" s="24">
        <f>MIN(50+MAX(0,B52*$B$2-500)*0.25,135+MAX(0,B52*$B$2-2000)*0.2,725+MAX(0,B52*$B$2-20000)*0.15)</f>
        <v>725</v>
      </c>
      <c r="U52" s="24">
        <f>T52</f>
        <v>725</v>
      </c>
      <c r="V52" s="22">
        <v>500</v>
      </c>
      <c r="W52" s="22">
        <f>MAX(0,B52*$B$2-50)*1</f>
        <v>4950</v>
      </c>
      <c r="X52" s="22">
        <f>V52+W52</f>
        <v>5450</v>
      </c>
      <c r="Y52" s="25" t="str">
        <f>IF(MIN(J52,M52,P52,S52,U52,X52)=U52,"Hay",IF(MIN(J52,M52,P52,S52,U52,X52)=S52,"Freshdesk",IF(MIN(J52,M52,P52,S52,U52,X52)=P52,"Tidio",IF(MIN(J52,M52,P52,S52,U52,X52)=J52,"Intercom",IF(MIN(J52,M52,P52,S52,U52,X52)=X52,"HubSpot","Zendesk")))))</f>
        <v>Hay</v>
      </c>
      <c r="Z52" s="26">
        <f>ROUND(MIN(J52,M52,P52,S52,U52,X52)/(B52*$B$2),2)</f>
        <v>0.15</v>
      </c>
    </row>
    <row r="53" spans="1:26" ht="15" customHeight="1" x14ac:dyDescent="0.2">
      <c r="A53" s="20">
        <v>38</v>
      </c>
      <c r="B53" s="21">
        <v>10000</v>
      </c>
      <c r="C53" s="20">
        <v>5</v>
      </c>
      <c r="D53" s="20" t="s">
        <v>173</v>
      </c>
      <c r="E53" s="20" t="s">
        <v>176</v>
      </c>
      <c r="F53" s="20" t="s">
        <v>176</v>
      </c>
      <c r="G53" s="20" t="s">
        <v>176</v>
      </c>
      <c r="H53" s="22">
        <v>495</v>
      </c>
      <c r="I53" s="22">
        <v>0</v>
      </c>
      <c r="J53" s="22">
        <v>495</v>
      </c>
      <c r="K53" s="22">
        <v>575</v>
      </c>
      <c r="L53" s="22">
        <v>0</v>
      </c>
      <c r="M53" s="22">
        <v>575</v>
      </c>
      <c r="N53" s="23">
        <v>32.5</v>
      </c>
      <c r="O53" s="20" t="s">
        <v>172</v>
      </c>
      <c r="P53" s="23">
        <v>32.5</v>
      </c>
      <c r="Q53" s="22">
        <v>245</v>
      </c>
      <c r="R53" s="21">
        <v>0</v>
      </c>
      <c r="S53" s="21">
        <v>245</v>
      </c>
      <c r="T53" s="20" t="s">
        <v>174</v>
      </c>
      <c r="U53" s="20" t="s">
        <v>174</v>
      </c>
      <c r="V53" s="22">
        <v>500</v>
      </c>
      <c r="W53" s="22">
        <v>0</v>
      </c>
      <c r="X53" s="22">
        <v>500</v>
      </c>
      <c r="Y53" s="6" t="s">
        <v>175</v>
      </c>
      <c r="Z53" t="s">
        <v>175</v>
      </c>
    </row>
    <row r="54" spans="1:26" ht="15" customHeight="1" x14ac:dyDescent="0.2">
      <c r="A54" s="20">
        <v>39</v>
      </c>
      <c r="B54" s="21">
        <v>10000</v>
      </c>
      <c r="C54" s="20">
        <v>10</v>
      </c>
      <c r="D54" s="20" t="s">
        <v>171</v>
      </c>
      <c r="E54" s="20" t="s">
        <v>176</v>
      </c>
      <c r="F54" s="20" t="str">
        <f>IF(B54&gt;=10000,"TTS",B54*$B$2*1)</f>
        <v>TTS</v>
      </c>
      <c r="G54" s="20" t="str">
        <f>IF(B54&gt;=10000,"TTS",E54+F54)</f>
        <v>TTS</v>
      </c>
      <c r="H54" s="22">
        <v>990</v>
      </c>
      <c r="I54" s="22">
        <f>B54*$B$2*0.99</f>
        <v>4950</v>
      </c>
      <c r="J54" s="22">
        <f>H54+I54</f>
        <v>5940</v>
      </c>
      <c r="K54" s="22">
        <v>1150</v>
      </c>
      <c r="L54" s="22">
        <f>(C54*$B$4)+(B54*$B$2*$B$5)</f>
        <v>8000</v>
      </c>
      <c r="M54" s="22">
        <f>K54+L54</f>
        <v>9150</v>
      </c>
      <c r="N54" s="23">
        <v>749</v>
      </c>
      <c r="O54" s="20" t="s">
        <v>172</v>
      </c>
      <c r="P54" s="23">
        <v>749</v>
      </c>
      <c r="Q54" s="22">
        <v>490</v>
      </c>
      <c r="R54" s="21">
        <f>MAX(0,B54*$B$3-500)*0.45</f>
        <v>5175</v>
      </c>
      <c r="S54" s="21">
        <f>Q54+R54</f>
        <v>5665</v>
      </c>
      <c r="T54" s="24">
        <f>MIN(50+MAX(0,B54*$B$2-500)*0.25,135+MAX(0,B54*$B$2-2000)*0.2,725+MAX(0,B54*$B$2-20000)*0.15)</f>
        <v>725</v>
      </c>
      <c r="U54" s="24">
        <f>T54</f>
        <v>725</v>
      </c>
      <c r="V54" s="22">
        <v>1000</v>
      </c>
      <c r="W54" s="22">
        <f>MAX(0,B54*$B$2-50)*1</f>
        <v>4950</v>
      </c>
      <c r="X54" s="22">
        <f>V54+W54</f>
        <v>5950</v>
      </c>
      <c r="Y54" s="25" t="str">
        <f>IF(MIN(J54,M54,P54,S54,U54,X54)=U54,"Hay",IF(MIN(J54,M54,P54,S54,U54,X54)=S54,"Freshdesk",IF(MIN(J54,M54,P54,S54,U54,X54)=P54,"Tidio",IF(MIN(J54,M54,P54,S54,U54,X54)=J54,"Intercom",IF(MIN(J54,M54,P54,S54,U54,X54)=X54,"HubSpot","Zendesk")))))</f>
        <v>Hay</v>
      </c>
      <c r="Z54" s="26">
        <f>ROUND(MIN(J54,M54,P54,S54,U54,X54)/(B54*$B$2),2)</f>
        <v>0.15</v>
      </c>
    </row>
    <row r="55" spans="1:26" ht="15" customHeight="1" x14ac:dyDescent="0.2">
      <c r="A55" s="20">
        <v>40</v>
      </c>
      <c r="B55" s="21">
        <v>10000</v>
      </c>
      <c r="C55" s="20">
        <v>10</v>
      </c>
      <c r="D55" s="20" t="s">
        <v>173</v>
      </c>
      <c r="E55" s="20" t="s">
        <v>176</v>
      </c>
      <c r="F55" s="20" t="s">
        <v>176</v>
      </c>
      <c r="G55" s="20" t="s">
        <v>176</v>
      </c>
      <c r="H55" s="22">
        <v>990</v>
      </c>
      <c r="I55" s="22">
        <v>0</v>
      </c>
      <c r="J55" s="22">
        <v>990</v>
      </c>
      <c r="K55" s="22">
        <v>1150</v>
      </c>
      <c r="L55" s="22">
        <v>0</v>
      </c>
      <c r="M55" s="22">
        <v>1150</v>
      </c>
      <c r="N55" s="23">
        <v>32.5</v>
      </c>
      <c r="O55" s="20" t="s">
        <v>172</v>
      </c>
      <c r="P55" s="23">
        <v>32.5</v>
      </c>
      <c r="Q55" s="22">
        <v>490</v>
      </c>
      <c r="R55" s="21">
        <v>0</v>
      </c>
      <c r="S55" s="21">
        <v>490</v>
      </c>
      <c r="T55" s="20" t="s">
        <v>174</v>
      </c>
      <c r="U55" s="20" t="s">
        <v>174</v>
      </c>
      <c r="V55" s="22">
        <v>1000</v>
      </c>
      <c r="W55" s="22">
        <v>0</v>
      </c>
      <c r="X55" s="22">
        <v>1000</v>
      </c>
      <c r="Y55" s="6" t="s">
        <v>175</v>
      </c>
      <c r="Z55" t="s">
        <v>175</v>
      </c>
    </row>
  </sheetData>
  <mergeCells count="1">
    <mergeCell ref="A8:B8"/>
  </mergeCells>
  <pageMargins left="0.75" right="0.75" top="1" bottom="1" header="0.511811023622047" footer="0.511811023622047"/>
  <pageSetup paperSize="9" orientation="portrait" horizontalDpi="300" verticalDpi="30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5"/>
  <sheetViews>
    <sheetView zoomScaleNormal="100" workbookViewId="0"/>
  </sheetViews>
  <sheetFormatPr baseColWidth="10" defaultColWidth="8.83203125" defaultRowHeight="15" x14ac:dyDescent="0.2"/>
  <cols>
    <col min="1" max="10" width="16" customWidth="1"/>
    <col min="11" max="11" width="24" customWidth="1"/>
  </cols>
  <sheetData>
    <row r="1" spans="1:11" ht="15.75" customHeight="1" x14ac:dyDescent="0.2">
      <c r="A1" s="4" t="s">
        <v>160</v>
      </c>
      <c r="B1" s="4" t="s">
        <v>161</v>
      </c>
      <c r="C1" s="4" t="s">
        <v>162</v>
      </c>
      <c r="D1" s="4" t="s">
        <v>177</v>
      </c>
      <c r="E1" s="4" t="s">
        <v>178</v>
      </c>
      <c r="F1" s="4" t="s">
        <v>179</v>
      </c>
      <c r="G1" s="4" t="s">
        <v>180</v>
      </c>
      <c r="H1" s="4" t="s">
        <v>181</v>
      </c>
      <c r="I1" s="4" t="s">
        <v>182</v>
      </c>
      <c r="J1" s="4" t="s">
        <v>169</v>
      </c>
      <c r="K1" s="4" t="s">
        <v>183</v>
      </c>
    </row>
    <row r="2" spans="1:11" ht="15" customHeight="1" x14ac:dyDescent="0.2">
      <c r="A2" s="20">
        <v>1</v>
      </c>
      <c r="B2" s="21">
        <v>300</v>
      </c>
      <c r="C2" s="20">
        <v>1</v>
      </c>
      <c r="D2" s="21">
        <f>B2*'Scenario Grid'!$B$2*1</f>
        <v>150</v>
      </c>
      <c r="E2" s="21">
        <f>B2*'Scenario Grid'!$B$2*0.99</f>
        <v>148.5</v>
      </c>
      <c r="F2" s="21">
        <f>(C2*50)+(B2*'Scenario Grid'!$B$2*1.5)</f>
        <v>275</v>
      </c>
      <c r="G2" s="21">
        <f>MAX(0,B2*1.2-500)*0.45</f>
        <v>0</v>
      </c>
      <c r="H2" s="21">
        <f>MIN(50+MAX(0,B2*'Scenario Grid'!$B$2-500)*0.25,135+MAX(0,B2*'Scenario Grid'!$B$2-2000)*0.2,725+MAX(0,B2*'Scenario Grid'!$B$2-20000)*0.15)</f>
        <v>50</v>
      </c>
      <c r="I2" s="21">
        <f>MAX(0,B2*'Scenario Grid'!$B$2-50)*1</f>
        <v>100</v>
      </c>
      <c r="J2" s="27" t="str">
        <f>IF(MIN(D2,E2,F2,G2,H2,I2)=H2,"Hay",IF(MIN(D2,E2,F2,G2,H2,I2)=G2,"Freshdesk",IF(MIN(D2,E2,F2,G2,H2,I2)=D2,"Gorgias",IF(MIN(D2,E2,F2,G2,H2,I2)=E2,"Intercom",IF(MIN(D2,E2,F2,G2,H2,I2)=I2,"HubSpot","Zendesk")))))</f>
        <v>Freshdesk</v>
      </c>
      <c r="K2" s="6" t="str">
        <f>IF(MIN(D2,E2,F2,G2,I2)=0,"Freshdesk free at this vol.",IF(H2&lt;=MIN(D2,E2,F2,G2,I2),TEXT(ROUND((1-H2/MIN(D2,E2,F2,G2,I2))*100,0),"0")&amp;"% vs "&amp;IF(MIN(D2,E2,F2,G2,I2)=G2,"Freshdesk",IF(MIN(D2,E2,F2,G2,I2)=E2,"Intercom",IF(MIN(D2,E2,F2,G2,I2)=D2,"Gorgias",IF(MIN(D2,E2,F2,G2,I2)=I2,"HubSpot","Zendesk")))),TEXT(ROUND((H2/MIN(D2,E2,F2,G2,I2)-1)*100,0),"0")&amp;"% more vs "&amp;IF(MIN(D2,E2,F2,G2,I2)=G2,"Freshdesk",IF(MIN(D2,E2,F2,G2,I2)=E2,"Intercom",IF(MIN(D2,E2,F2,G2,I2)=D2,"Gorgias",IF(MIN(D2,E2,F2,G2,I2)=I2,"HubSpot","Zendesk"))))))</f>
        <v>Freshdesk free at this vol.</v>
      </c>
    </row>
    <row r="3" spans="1:11" ht="15" customHeight="1" x14ac:dyDescent="0.2">
      <c r="A3" s="20">
        <v>2</v>
      </c>
      <c r="B3" s="21">
        <v>300</v>
      </c>
      <c r="C3" s="20">
        <v>3</v>
      </c>
      <c r="D3" s="21">
        <f>B3*'Scenario Grid'!$B$2*1</f>
        <v>150</v>
      </c>
      <c r="E3" s="21">
        <f>B3*'Scenario Grid'!$B$2*0.99</f>
        <v>148.5</v>
      </c>
      <c r="F3" s="21">
        <f>(C3*50)+(B3*'Scenario Grid'!$B$2*1.5)</f>
        <v>375</v>
      </c>
      <c r="G3" s="21">
        <f>MAX(0,B3*1.2-500)*0.45</f>
        <v>0</v>
      </c>
      <c r="H3" s="21">
        <f>MIN(50+MAX(0,B3*'Scenario Grid'!$B$2-500)*0.25,135+MAX(0,B3*'Scenario Grid'!$B$2-2000)*0.2,725+MAX(0,B3*'Scenario Grid'!$B$2-20000)*0.15)</f>
        <v>50</v>
      </c>
      <c r="I3" s="21">
        <f>MAX(0,B3*'Scenario Grid'!$B$2-50)*1</f>
        <v>100</v>
      </c>
      <c r="J3" s="27" t="str">
        <f>IF(MIN(D3,E3,F3,G3,H3,I3)=H3,"Hay",IF(MIN(D3,E3,F3,G3,H3,I3)=G3,"Freshdesk",IF(MIN(D3,E3,F3,G3,H3,I3)=D3,"Gorgias",IF(MIN(D3,E3,F3,G3,H3,I3)=E3,"Intercom",IF(MIN(D3,E3,F3,G3,H3,I3)=I3,"HubSpot","Zendesk")))))</f>
        <v>Freshdesk</v>
      </c>
      <c r="K3" s="6" t="str">
        <f>IF(MIN(D3,E3,F3,G3,I3)=0,"Freshdesk free at this vol.",IF(H3&lt;=MIN(D3,E3,F3,G3,I3),TEXT(ROUND((1-H3/MIN(D3,E3,F3,G3,I3))*100,0),"0")&amp;"% vs "&amp;IF(MIN(D3,E3,F3,G3,I3)=G3,"Freshdesk",IF(MIN(D3,E3,F3,G3,I3)=E3,"Intercom",IF(MIN(D3,E3,F3,G3,I3)=D3,"Gorgias",IF(MIN(D3,E3,F3,G3,I3)=I3,"HubSpot","Zendesk")))),TEXT(ROUND((H3/MIN(D3,E3,F3,G3,I3)-1)*100,0),"0")&amp;"% more vs "&amp;IF(MIN(D3,E3,F3,G3,I3)=G3,"Freshdesk",IF(MIN(D3,E3,F3,G3,I3)=E3,"Intercom",IF(MIN(D3,E3,F3,G3,I3)=D3,"Gorgias",IF(MIN(D3,E3,F3,G3,I3)=I3,"HubSpot","Zendesk"))))))</f>
        <v>Freshdesk free at this vol.</v>
      </c>
    </row>
    <row r="4" spans="1:11" ht="15" customHeight="1" x14ac:dyDescent="0.2">
      <c r="A4" s="20">
        <v>3</v>
      </c>
      <c r="B4" s="21">
        <v>300</v>
      </c>
      <c r="C4" s="20">
        <v>5</v>
      </c>
      <c r="D4" s="21">
        <f>B4*'Scenario Grid'!$B$2*1</f>
        <v>150</v>
      </c>
      <c r="E4" s="21">
        <f>B4*'Scenario Grid'!$B$2*0.99</f>
        <v>148.5</v>
      </c>
      <c r="F4" s="21">
        <f>(C4*50)+(B4*'Scenario Grid'!$B$2*1.5)</f>
        <v>475</v>
      </c>
      <c r="G4" s="21">
        <f>MAX(0,B4*1.2-500)*0.45</f>
        <v>0</v>
      </c>
      <c r="H4" s="21">
        <f>MIN(50+MAX(0,B4*'Scenario Grid'!$B$2-500)*0.25,135+MAX(0,B4*'Scenario Grid'!$B$2-2000)*0.2,725+MAX(0,B4*'Scenario Grid'!$B$2-20000)*0.15)</f>
        <v>50</v>
      </c>
      <c r="I4" s="21">
        <f>MAX(0,B4*'Scenario Grid'!$B$2-50)*1</f>
        <v>100</v>
      </c>
      <c r="J4" s="27" t="str">
        <f>IF(MIN(D4,E4,F4,G4,H4,I4)=H4,"Hay",IF(MIN(D4,E4,F4,G4,H4,I4)=G4,"Freshdesk",IF(MIN(D4,E4,F4,G4,H4,I4)=D4,"Gorgias",IF(MIN(D4,E4,F4,G4,H4,I4)=E4,"Intercom",IF(MIN(D4,E4,F4,G4,H4,I4)=I4,"HubSpot","Zendesk")))))</f>
        <v>Freshdesk</v>
      </c>
      <c r="K4" s="6" t="str">
        <f>IF(MIN(D4,E4,F4,G4,I4)=0,"Freshdesk free at this vol.",IF(H4&lt;=MIN(D4,E4,F4,G4,I4),TEXT(ROUND((1-H4/MIN(D4,E4,F4,G4,I4))*100,0),"0")&amp;"% vs "&amp;IF(MIN(D4,E4,F4,G4,I4)=G4,"Freshdesk",IF(MIN(D4,E4,F4,G4,I4)=E4,"Intercom",IF(MIN(D4,E4,F4,G4,I4)=D4,"Gorgias",IF(MIN(D4,E4,F4,G4,I4)=I4,"HubSpot","Zendesk")))),TEXT(ROUND((H4/MIN(D4,E4,F4,G4,I4)-1)*100,0),"0")&amp;"% more vs "&amp;IF(MIN(D4,E4,F4,G4,I4)=G4,"Freshdesk",IF(MIN(D4,E4,F4,G4,I4)=E4,"Intercom",IF(MIN(D4,E4,F4,G4,I4)=D4,"Gorgias",IF(MIN(D4,E4,F4,G4,I4)=I4,"HubSpot","Zendesk"))))))</f>
        <v>Freshdesk free at this vol.</v>
      </c>
    </row>
    <row r="5" spans="1:11" ht="15" customHeight="1" x14ac:dyDescent="0.2">
      <c r="A5" s="20">
        <v>4</v>
      </c>
      <c r="B5" s="21">
        <v>300</v>
      </c>
      <c r="C5" s="20">
        <v>10</v>
      </c>
      <c r="D5" s="21">
        <f>B5*'Scenario Grid'!$B$2*1</f>
        <v>150</v>
      </c>
      <c r="E5" s="21">
        <f>B5*'Scenario Grid'!$B$2*0.99</f>
        <v>148.5</v>
      </c>
      <c r="F5" s="21">
        <f>(C5*50)+(B5*'Scenario Grid'!$B$2*1.5)</f>
        <v>725</v>
      </c>
      <c r="G5" s="21">
        <f>MAX(0,B5*1.2-500)*0.45</f>
        <v>0</v>
      </c>
      <c r="H5" s="21">
        <f>MIN(50+MAX(0,B5*'Scenario Grid'!$B$2-500)*0.25,135+MAX(0,B5*'Scenario Grid'!$B$2-2000)*0.2,725+MAX(0,B5*'Scenario Grid'!$B$2-20000)*0.15)</f>
        <v>50</v>
      </c>
      <c r="I5" s="21">
        <f>MAX(0,B5*'Scenario Grid'!$B$2-50)*1</f>
        <v>100</v>
      </c>
      <c r="J5" s="27" t="str">
        <f>IF(MIN(D5,E5,F5,G5,H5,I5)=H5,"Hay",IF(MIN(D5,E5,F5,G5,H5,I5)=G5,"Freshdesk",IF(MIN(D5,E5,F5,G5,H5,I5)=D5,"Gorgias",IF(MIN(D5,E5,F5,G5,H5,I5)=E5,"Intercom",IF(MIN(D5,E5,F5,G5,H5,I5)=I5,"HubSpot","Zendesk")))))</f>
        <v>Freshdesk</v>
      </c>
      <c r="K5" s="6" t="str">
        <f>IF(MIN(D5,E5,F5,G5,I5)=0,"Freshdesk free at this vol.",IF(H5&lt;=MIN(D5,E5,F5,G5,I5),TEXT(ROUND((1-H5/MIN(D5,E5,F5,G5,I5))*100,0),"0")&amp;"% vs "&amp;IF(MIN(D5,E5,F5,G5,I5)=G5,"Freshdesk",IF(MIN(D5,E5,F5,G5,I5)=E5,"Intercom",IF(MIN(D5,E5,F5,G5,I5)=D5,"Gorgias",IF(MIN(D5,E5,F5,G5,I5)=I5,"HubSpot","Zendesk")))),TEXT(ROUND((H5/MIN(D5,E5,F5,G5,I5)-1)*100,0),"0")&amp;"% more vs "&amp;IF(MIN(D5,E5,F5,G5,I5)=G5,"Freshdesk",IF(MIN(D5,E5,F5,G5,I5)=E5,"Intercom",IF(MIN(D5,E5,F5,G5,I5)=D5,"Gorgias",IF(MIN(D5,E5,F5,G5,I5)=I5,"HubSpot","Zendesk"))))))</f>
        <v>Freshdesk free at this vol.</v>
      </c>
    </row>
    <row r="7" spans="1:11" ht="15" customHeight="1" x14ac:dyDescent="0.2">
      <c r="A7" s="20">
        <v>5</v>
      </c>
      <c r="B7" s="21">
        <v>1000</v>
      </c>
      <c r="C7" s="20">
        <v>1</v>
      </c>
      <c r="D7" s="21">
        <f>B7*'Scenario Grid'!$B$2*1</f>
        <v>500</v>
      </c>
      <c r="E7" s="21">
        <f>B7*'Scenario Grid'!$B$2*0.99</f>
        <v>495</v>
      </c>
      <c r="F7" s="21">
        <f>(C7*50)+(B7*'Scenario Grid'!$B$2*1.5)</f>
        <v>800</v>
      </c>
      <c r="G7" s="21">
        <f>MAX(0,B7*1.2-500)*0.45</f>
        <v>315</v>
      </c>
      <c r="H7" s="21">
        <f>MIN(50+MAX(0,B7*'Scenario Grid'!$B$2-500)*0.25,135+MAX(0,B7*'Scenario Grid'!$B$2-2000)*0.2,725+MAX(0,B7*'Scenario Grid'!$B$2-20000)*0.15)</f>
        <v>50</v>
      </c>
      <c r="I7" s="21">
        <f>MAX(0,B7*'Scenario Grid'!$B$2-50)*1</f>
        <v>450</v>
      </c>
      <c r="J7" s="27" t="str">
        <f>IF(MIN(D7,E7,F7,G7,H7,I7)=H7,"Hay",IF(MIN(D7,E7,F7,G7,H7,I7)=G7,"Freshdesk",IF(MIN(D7,E7,F7,G7,H7,I7)=D7,"Gorgias",IF(MIN(D7,E7,F7,G7,H7,I7)=E7,"Intercom",IF(MIN(D7,E7,F7,G7,H7,I7)=I7,"HubSpot","Zendesk")))))</f>
        <v>Hay</v>
      </c>
      <c r="K7" s="20" t="str">
        <f>IF(MIN(D7,E7,F7,G7,I7)=0,"Freshdesk free at this vol.",IF(H7&lt;=MIN(D7,E7,F7,G7,I7),TEXT(ROUND((1-H7/MIN(D7,E7,F7,G7,I7))*100,0),"0")&amp;"% vs "&amp;IF(MIN(D7,E7,F7,G7,I7)=G7,"Freshdesk",IF(MIN(D7,E7,F7,G7,I7)=E7,"Intercom",IF(MIN(D7,E7,F7,G7,I7)=D7,"Gorgias",IF(MIN(D7,E7,F7,G7,I7)=I7,"HubSpot","Zendesk")))),TEXT(ROUND((H7/MIN(D7,E7,F7,G7,I7)-1)*100,0),"0")&amp;"% more vs "&amp;IF(MIN(D7,E7,F7,G7,I7)=G7,"Freshdesk",IF(MIN(D7,E7,F7,G7,I7)=E7,"Intercom",IF(MIN(D7,E7,F7,G7,I7)=D7,"Gorgias",IF(MIN(D7,E7,F7,G7,I7)=I7,"HubSpot","Zendesk"))))))</f>
        <v>84% vs Freshdesk</v>
      </c>
    </row>
    <row r="8" spans="1:11" ht="15" customHeight="1" x14ac:dyDescent="0.2">
      <c r="A8" s="20">
        <v>6</v>
      </c>
      <c r="B8" s="21">
        <v>1000</v>
      </c>
      <c r="C8" s="20">
        <v>3</v>
      </c>
      <c r="D8" s="21">
        <f>B8*'Scenario Grid'!$B$2*1</f>
        <v>500</v>
      </c>
      <c r="E8" s="21">
        <f>B8*'Scenario Grid'!$B$2*0.99</f>
        <v>495</v>
      </c>
      <c r="F8" s="21">
        <f>(C8*50)+(B8*'Scenario Grid'!$B$2*1.5)</f>
        <v>900</v>
      </c>
      <c r="G8" s="21">
        <f>MAX(0,B8*1.2-500)*0.45</f>
        <v>315</v>
      </c>
      <c r="H8" s="21">
        <f>MIN(50+MAX(0,B8*'Scenario Grid'!$B$2-500)*0.25,135+MAX(0,B8*'Scenario Grid'!$B$2-2000)*0.2,725+MAX(0,B8*'Scenario Grid'!$B$2-20000)*0.15)</f>
        <v>50</v>
      </c>
      <c r="I8" s="21">
        <f>MAX(0,B8*'Scenario Grid'!$B$2-50)*1</f>
        <v>450</v>
      </c>
      <c r="J8" s="27" t="str">
        <f>IF(MIN(D8,E8,F8,G8,H8,I8)=H8,"Hay",IF(MIN(D8,E8,F8,G8,H8,I8)=G8,"Freshdesk",IF(MIN(D8,E8,F8,G8,H8,I8)=D8,"Gorgias",IF(MIN(D8,E8,F8,G8,H8,I8)=E8,"Intercom",IF(MIN(D8,E8,F8,G8,H8,I8)=I8,"HubSpot","Zendesk")))))</f>
        <v>Hay</v>
      </c>
      <c r="K8" s="20" t="str">
        <f>IF(MIN(D8,E8,F8,G8,I8)=0,"Freshdesk free at this vol.",IF(H8&lt;=MIN(D8,E8,F8,G8,I8),TEXT(ROUND((1-H8/MIN(D8,E8,F8,G8,I8))*100,0),"0")&amp;"% vs "&amp;IF(MIN(D8,E8,F8,G8,I8)=G8,"Freshdesk",IF(MIN(D8,E8,F8,G8,I8)=E8,"Intercom",IF(MIN(D8,E8,F8,G8,I8)=D8,"Gorgias",IF(MIN(D8,E8,F8,G8,I8)=I8,"HubSpot","Zendesk")))),TEXT(ROUND((H8/MIN(D8,E8,F8,G8,I8)-1)*100,0),"0")&amp;"% more vs "&amp;IF(MIN(D8,E8,F8,G8,I8)=G8,"Freshdesk",IF(MIN(D8,E8,F8,G8,I8)=E8,"Intercom",IF(MIN(D8,E8,F8,G8,I8)=D8,"Gorgias",IF(MIN(D8,E8,F8,G8,I8)=I8,"HubSpot","Zendesk"))))))</f>
        <v>84% vs Freshdesk</v>
      </c>
    </row>
    <row r="9" spans="1:11" ht="15" customHeight="1" x14ac:dyDescent="0.2">
      <c r="A9" s="20">
        <v>7</v>
      </c>
      <c r="B9" s="21">
        <v>1000</v>
      </c>
      <c r="C9" s="20">
        <v>5</v>
      </c>
      <c r="D9" s="21">
        <f>B9*'Scenario Grid'!$B$2*1</f>
        <v>500</v>
      </c>
      <c r="E9" s="21">
        <f>B9*'Scenario Grid'!$B$2*0.99</f>
        <v>495</v>
      </c>
      <c r="F9" s="21">
        <f>(C9*50)+(B9*'Scenario Grid'!$B$2*1.5)</f>
        <v>1000</v>
      </c>
      <c r="G9" s="21">
        <f>MAX(0,B9*1.2-500)*0.45</f>
        <v>315</v>
      </c>
      <c r="H9" s="21">
        <f>MIN(50+MAX(0,B9*'Scenario Grid'!$B$2-500)*0.25,135+MAX(0,B9*'Scenario Grid'!$B$2-2000)*0.2,725+MAX(0,B9*'Scenario Grid'!$B$2-20000)*0.15)</f>
        <v>50</v>
      </c>
      <c r="I9" s="21">
        <f>MAX(0,B9*'Scenario Grid'!$B$2-50)*1</f>
        <v>450</v>
      </c>
      <c r="J9" s="27" t="str">
        <f>IF(MIN(D9,E9,F9,G9,H9,I9)=H9,"Hay",IF(MIN(D9,E9,F9,G9,H9,I9)=G9,"Freshdesk",IF(MIN(D9,E9,F9,G9,H9,I9)=D9,"Gorgias",IF(MIN(D9,E9,F9,G9,H9,I9)=E9,"Intercom",IF(MIN(D9,E9,F9,G9,H9,I9)=I9,"HubSpot","Zendesk")))))</f>
        <v>Hay</v>
      </c>
      <c r="K9" s="20" t="str">
        <f>IF(MIN(D9,E9,F9,G9,I9)=0,"Freshdesk free at this vol.",IF(H9&lt;=MIN(D9,E9,F9,G9,I9),TEXT(ROUND((1-H9/MIN(D9,E9,F9,G9,I9))*100,0),"0")&amp;"% vs "&amp;IF(MIN(D9,E9,F9,G9,I9)=G9,"Freshdesk",IF(MIN(D9,E9,F9,G9,I9)=E9,"Intercom",IF(MIN(D9,E9,F9,G9,I9)=D9,"Gorgias",IF(MIN(D9,E9,F9,G9,I9)=I9,"HubSpot","Zendesk")))),TEXT(ROUND((H9/MIN(D9,E9,F9,G9,I9)-1)*100,0),"0")&amp;"% more vs "&amp;IF(MIN(D9,E9,F9,G9,I9)=G9,"Freshdesk",IF(MIN(D9,E9,F9,G9,I9)=E9,"Intercom",IF(MIN(D9,E9,F9,G9,I9)=D9,"Gorgias",IF(MIN(D9,E9,F9,G9,I9)=I9,"HubSpot","Zendesk"))))))</f>
        <v>84% vs Freshdesk</v>
      </c>
    </row>
    <row r="10" spans="1:11" ht="15" customHeight="1" x14ac:dyDescent="0.2">
      <c r="A10" s="20">
        <v>8</v>
      </c>
      <c r="B10" s="21">
        <v>1000</v>
      </c>
      <c r="C10" s="20">
        <v>10</v>
      </c>
      <c r="D10" s="21">
        <f>B10*'Scenario Grid'!$B$2*1</f>
        <v>500</v>
      </c>
      <c r="E10" s="21">
        <f>B10*'Scenario Grid'!$B$2*0.99</f>
        <v>495</v>
      </c>
      <c r="F10" s="21">
        <f>(C10*50)+(B10*'Scenario Grid'!$B$2*1.5)</f>
        <v>1250</v>
      </c>
      <c r="G10" s="21">
        <f>MAX(0,B10*1.2-500)*0.45</f>
        <v>315</v>
      </c>
      <c r="H10" s="21">
        <f>MIN(50+MAX(0,B10*'Scenario Grid'!$B$2-500)*0.25,135+MAX(0,B10*'Scenario Grid'!$B$2-2000)*0.2,725+MAX(0,B10*'Scenario Grid'!$B$2-20000)*0.15)</f>
        <v>50</v>
      </c>
      <c r="I10" s="21">
        <f>MAX(0,B10*'Scenario Grid'!$B$2-50)*1</f>
        <v>450</v>
      </c>
      <c r="J10" s="27" t="str">
        <f>IF(MIN(D10,E10,F10,G10,H10,I10)=H10,"Hay",IF(MIN(D10,E10,F10,G10,H10,I10)=G10,"Freshdesk",IF(MIN(D10,E10,F10,G10,H10,I10)=D10,"Gorgias",IF(MIN(D10,E10,F10,G10,H10,I10)=E10,"Intercom",IF(MIN(D10,E10,F10,G10,H10,I10)=I10,"HubSpot","Zendesk")))))</f>
        <v>Hay</v>
      </c>
      <c r="K10" s="20" t="str">
        <f>IF(MIN(D10,E10,F10,G10,I10)=0,"Freshdesk free at this vol.",IF(H10&lt;=MIN(D10,E10,F10,G10,I10),TEXT(ROUND((1-H10/MIN(D10,E10,F10,G10,I10))*100,0),"0")&amp;"% vs "&amp;IF(MIN(D10,E10,F10,G10,I10)=G10,"Freshdesk",IF(MIN(D10,E10,F10,G10,I10)=E10,"Intercom",IF(MIN(D10,E10,F10,G10,I10)=D10,"Gorgias",IF(MIN(D10,E10,F10,G10,I10)=I10,"HubSpot","Zendesk")))),TEXT(ROUND((H10/MIN(D10,E10,F10,G10,I10)-1)*100,0),"0")&amp;"% more vs "&amp;IF(MIN(D10,E10,F10,G10,I10)=G10,"Freshdesk",IF(MIN(D10,E10,F10,G10,I10)=E10,"Intercom",IF(MIN(D10,E10,F10,G10,I10)=D10,"Gorgias",IF(MIN(D10,E10,F10,G10,I10)=I10,"HubSpot","Zendesk"))))))</f>
        <v>84% vs Freshdesk</v>
      </c>
    </row>
    <row r="12" spans="1:11" ht="15" customHeight="1" x14ac:dyDescent="0.2">
      <c r="A12" s="20">
        <v>9</v>
      </c>
      <c r="B12" s="21">
        <v>2000</v>
      </c>
      <c r="C12" s="20">
        <v>1</v>
      </c>
      <c r="D12" s="21">
        <f>B12*'Scenario Grid'!$B$2*1</f>
        <v>1000</v>
      </c>
      <c r="E12" s="21">
        <f>B12*'Scenario Grid'!$B$2*0.99</f>
        <v>990</v>
      </c>
      <c r="F12" s="21">
        <f>(C12*50)+(B12*'Scenario Grid'!$B$2*1.5)</f>
        <v>1550</v>
      </c>
      <c r="G12" s="21">
        <f>MAX(0,B12*1.2-500)*0.45</f>
        <v>855</v>
      </c>
      <c r="H12" s="21">
        <f>MIN(50+MAX(0,B12*'Scenario Grid'!$B$2-500)*0.25,135+MAX(0,B12*'Scenario Grid'!$B$2-2000)*0.2,725+MAX(0,B12*'Scenario Grid'!$B$2-20000)*0.15)</f>
        <v>135</v>
      </c>
      <c r="I12" s="21">
        <f>MAX(0,B12*'Scenario Grid'!$B$2-50)*1</f>
        <v>950</v>
      </c>
      <c r="J12" s="27" t="str">
        <f>IF(MIN(D12,E12,F12,G12,H12,I12)=H12,"Hay",IF(MIN(D12,E12,F12,G12,H12,I12)=G12,"Freshdesk",IF(MIN(D12,E12,F12,G12,H12,I12)=D12,"Gorgias",IF(MIN(D12,E12,F12,G12,H12,I12)=E12,"Intercom",IF(MIN(D12,E12,F12,G12,H12,I12)=I12,"HubSpot","Zendesk")))))</f>
        <v>Hay</v>
      </c>
      <c r="K12" s="20" t="str">
        <f>IF(MIN(D12,E12,F12,G12,I12)=0,"Freshdesk free at this vol.",IF(H12&lt;=MIN(D12,E12,F12,G12,I12),TEXT(ROUND((1-H12/MIN(D12,E12,F12,G12,I12))*100,0),"0")&amp;"% vs "&amp;IF(MIN(D12,E12,F12,G12,I12)=G12,"Freshdesk",IF(MIN(D12,E12,F12,G12,I12)=E12,"Intercom",IF(MIN(D12,E12,F12,G12,I12)=D12,"Gorgias",IF(MIN(D12,E12,F12,G12,I12)=I12,"HubSpot","Zendesk")))),TEXT(ROUND((H12/MIN(D12,E12,F12,G12,I12)-1)*100,0),"0")&amp;"% more vs "&amp;IF(MIN(D12,E12,F12,G12,I12)=G12,"Freshdesk",IF(MIN(D12,E12,F12,G12,I12)=E12,"Intercom",IF(MIN(D12,E12,F12,G12,I12)=D12,"Gorgias",IF(MIN(D12,E12,F12,G12,I12)=I12,"HubSpot","Zendesk"))))))</f>
        <v>84% vs Freshdesk</v>
      </c>
    </row>
    <row r="13" spans="1:11" ht="15" customHeight="1" x14ac:dyDescent="0.2">
      <c r="A13" s="20">
        <v>10</v>
      </c>
      <c r="B13" s="21">
        <v>2000</v>
      </c>
      <c r="C13" s="20">
        <v>3</v>
      </c>
      <c r="D13" s="21">
        <f>B13*'Scenario Grid'!$B$2*1</f>
        <v>1000</v>
      </c>
      <c r="E13" s="21">
        <f>B13*'Scenario Grid'!$B$2*0.99</f>
        <v>990</v>
      </c>
      <c r="F13" s="21">
        <f>(C13*50)+(B13*'Scenario Grid'!$B$2*1.5)</f>
        <v>1650</v>
      </c>
      <c r="G13" s="21">
        <f>MAX(0,B13*1.2-500)*0.45</f>
        <v>855</v>
      </c>
      <c r="H13" s="21">
        <f>MIN(50+MAX(0,B13*'Scenario Grid'!$B$2-500)*0.25,135+MAX(0,B13*'Scenario Grid'!$B$2-2000)*0.2,725+MAX(0,B13*'Scenario Grid'!$B$2-20000)*0.15)</f>
        <v>135</v>
      </c>
      <c r="I13" s="21">
        <f>MAX(0,B13*'Scenario Grid'!$B$2-50)*1</f>
        <v>950</v>
      </c>
      <c r="J13" s="27" t="str">
        <f>IF(MIN(D13,E13,F13,G13,H13,I13)=H13,"Hay",IF(MIN(D13,E13,F13,G13,H13,I13)=G13,"Freshdesk",IF(MIN(D13,E13,F13,G13,H13,I13)=D13,"Gorgias",IF(MIN(D13,E13,F13,G13,H13,I13)=E13,"Intercom",IF(MIN(D13,E13,F13,G13,H13,I13)=I13,"HubSpot","Zendesk")))))</f>
        <v>Hay</v>
      </c>
      <c r="K13" s="20" t="str">
        <f>IF(MIN(D13,E13,F13,G13,I13)=0,"Freshdesk free at this vol.",IF(H13&lt;=MIN(D13,E13,F13,G13,I13),TEXT(ROUND((1-H13/MIN(D13,E13,F13,G13,I13))*100,0),"0")&amp;"% vs "&amp;IF(MIN(D13,E13,F13,G13,I13)=G13,"Freshdesk",IF(MIN(D13,E13,F13,G13,I13)=E13,"Intercom",IF(MIN(D13,E13,F13,G13,I13)=D13,"Gorgias",IF(MIN(D13,E13,F13,G13,I13)=I13,"HubSpot","Zendesk")))),TEXT(ROUND((H13/MIN(D13,E13,F13,G13,I13)-1)*100,0),"0")&amp;"% more vs "&amp;IF(MIN(D13,E13,F13,G13,I13)=G13,"Freshdesk",IF(MIN(D13,E13,F13,G13,I13)=E13,"Intercom",IF(MIN(D13,E13,F13,G13,I13)=D13,"Gorgias",IF(MIN(D13,E13,F13,G13,I13)=I13,"HubSpot","Zendesk"))))))</f>
        <v>84% vs Freshdesk</v>
      </c>
    </row>
    <row r="14" spans="1:11" ht="15" customHeight="1" x14ac:dyDescent="0.2">
      <c r="A14" s="20">
        <v>11</v>
      </c>
      <c r="B14" s="21">
        <v>2000</v>
      </c>
      <c r="C14" s="20">
        <v>5</v>
      </c>
      <c r="D14" s="21">
        <f>B14*'Scenario Grid'!$B$2*1</f>
        <v>1000</v>
      </c>
      <c r="E14" s="21">
        <f>B14*'Scenario Grid'!$B$2*0.99</f>
        <v>990</v>
      </c>
      <c r="F14" s="21">
        <f>(C14*50)+(B14*'Scenario Grid'!$B$2*1.5)</f>
        <v>1750</v>
      </c>
      <c r="G14" s="21">
        <f>MAX(0,B14*1.2-500)*0.45</f>
        <v>855</v>
      </c>
      <c r="H14" s="21">
        <f>MIN(50+MAX(0,B14*'Scenario Grid'!$B$2-500)*0.25,135+MAX(0,B14*'Scenario Grid'!$B$2-2000)*0.2,725+MAX(0,B14*'Scenario Grid'!$B$2-20000)*0.15)</f>
        <v>135</v>
      </c>
      <c r="I14" s="21">
        <f>MAX(0,B14*'Scenario Grid'!$B$2-50)*1</f>
        <v>950</v>
      </c>
      <c r="J14" s="27" t="str">
        <f>IF(MIN(D14,E14,F14,G14,H14,I14)=H14,"Hay",IF(MIN(D14,E14,F14,G14,H14,I14)=G14,"Freshdesk",IF(MIN(D14,E14,F14,G14,H14,I14)=D14,"Gorgias",IF(MIN(D14,E14,F14,G14,H14,I14)=E14,"Intercom",IF(MIN(D14,E14,F14,G14,H14,I14)=I14,"HubSpot","Zendesk")))))</f>
        <v>Hay</v>
      </c>
      <c r="K14" s="20" t="str">
        <f>IF(MIN(D14,E14,F14,G14,I14)=0,"Freshdesk free at this vol.",IF(H14&lt;=MIN(D14,E14,F14,G14,I14),TEXT(ROUND((1-H14/MIN(D14,E14,F14,G14,I14))*100,0),"0")&amp;"% vs "&amp;IF(MIN(D14,E14,F14,G14,I14)=G14,"Freshdesk",IF(MIN(D14,E14,F14,G14,I14)=E14,"Intercom",IF(MIN(D14,E14,F14,G14,I14)=D14,"Gorgias",IF(MIN(D14,E14,F14,G14,I14)=I14,"HubSpot","Zendesk")))),TEXT(ROUND((H14/MIN(D14,E14,F14,G14,I14)-1)*100,0),"0")&amp;"% more vs "&amp;IF(MIN(D14,E14,F14,G14,I14)=G14,"Freshdesk",IF(MIN(D14,E14,F14,G14,I14)=E14,"Intercom",IF(MIN(D14,E14,F14,G14,I14)=D14,"Gorgias",IF(MIN(D14,E14,F14,G14,I14)=I14,"HubSpot","Zendesk"))))))</f>
        <v>84% vs Freshdesk</v>
      </c>
    </row>
    <row r="15" spans="1:11" ht="15" customHeight="1" x14ac:dyDescent="0.2">
      <c r="A15" s="20">
        <v>12</v>
      </c>
      <c r="B15" s="21">
        <v>2000</v>
      </c>
      <c r="C15" s="20">
        <v>10</v>
      </c>
      <c r="D15" s="21">
        <f>B15*'Scenario Grid'!$B$2*1</f>
        <v>1000</v>
      </c>
      <c r="E15" s="21">
        <f>B15*'Scenario Grid'!$B$2*0.99</f>
        <v>990</v>
      </c>
      <c r="F15" s="21">
        <f>(C15*50)+(B15*'Scenario Grid'!$B$2*1.5)</f>
        <v>2000</v>
      </c>
      <c r="G15" s="21">
        <f>MAX(0,B15*1.2-500)*0.45</f>
        <v>855</v>
      </c>
      <c r="H15" s="21">
        <f>MIN(50+MAX(0,B15*'Scenario Grid'!$B$2-500)*0.25,135+MAX(0,B15*'Scenario Grid'!$B$2-2000)*0.2,725+MAX(0,B15*'Scenario Grid'!$B$2-20000)*0.15)</f>
        <v>135</v>
      </c>
      <c r="I15" s="21">
        <f>MAX(0,B15*'Scenario Grid'!$B$2-50)*1</f>
        <v>950</v>
      </c>
      <c r="J15" s="27" t="str">
        <f>IF(MIN(D15,E15,F15,G15,H15,I15)=H15,"Hay",IF(MIN(D15,E15,F15,G15,H15,I15)=G15,"Freshdesk",IF(MIN(D15,E15,F15,G15,H15,I15)=D15,"Gorgias",IF(MIN(D15,E15,F15,G15,H15,I15)=E15,"Intercom",IF(MIN(D15,E15,F15,G15,H15,I15)=I15,"HubSpot","Zendesk")))))</f>
        <v>Hay</v>
      </c>
      <c r="K15" s="20" t="str">
        <f>IF(MIN(D15,E15,F15,G15,I15)=0,"Freshdesk free at this vol.",IF(H15&lt;=MIN(D15,E15,F15,G15,I15),TEXT(ROUND((1-H15/MIN(D15,E15,F15,G15,I15))*100,0),"0")&amp;"% vs "&amp;IF(MIN(D15,E15,F15,G15,I15)=G15,"Freshdesk",IF(MIN(D15,E15,F15,G15,I15)=E15,"Intercom",IF(MIN(D15,E15,F15,G15,I15)=D15,"Gorgias",IF(MIN(D15,E15,F15,G15,I15)=I15,"HubSpot","Zendesk")))),TEXT(ROUND((H15/MIN(D15,E15,F15,G15,I15)-1)*100,0),"0")&amp;"% more vs "&amp;IF(MIN(D15,E15,F15,G15,I15)=G15,"Freshdesk",IF(MIN(D15,E15,F15,G15,I15)=E15,"Intercom",IF(MIN(D15,E15,F15,G15,I15)=D15,"Gorgias",IF(MIN(D15,E15,F15,G15,I15)=I15,"HubSpot","Zendesk"))))))</f>
        <v>84% vs Freshdesk</v>
      </c>
    </row>
    <row r="17" spans="1:11" ht="15" customHeight="1" x14ac:dyDescent="0.2">
      <c r="A17" s="20">
        <v>13</v>
      </c>
      <c r="B17" s="21">
        <v>5000</v>
      </c>
      <c r="C17" s="20">
        <v>1</v>
      </c>
      <c r="D17" s="21">
        <f>B17*'Scenario Grid'!$B$2*1</f>
        <v>2500</v>
      </c>
      <c r="E17" s="21">
        <f>B17*'Scenario Grid'!$B$2*0.99</f>
        <v>2475</v>
      </c>
      <c r="F17" s="21">
        <f>(C17*50)+(B17*'Scenario Grid'!$B$2*1.5)</f>
        <v>3800</v>
      </c>
      <c r="G17" s="21">
        <f>MAX(0,B17*1.2-500)*0.45</f>
        <v>2475</v>
      </c>
      <c r="H17" s="21">
        <f>MIN(50+MAX(0,B17*'Scenario Grid'!$B$2-500)*0.25,135+MAX(0,B17*'Scenario Grid'!$B$2-2000)*0.2,725+MAX(0,B17*'Scenario Grid'!$B$2-20000)*0.15)</f>
        <v>235</v>
      </c>
      <c r="I17" s="21">
        <f>MAX(0,B17*'Scenario Grid'!$B$2-50)*1</f>
        <v>2450</v>
      </c>
      <c r="J17" s="27" t="str">
        <f>IF(MIN(D17,E17,F17,G17,H17,I17)=H17,"Hay",IF(MIN(D17,E17,F17,G17,H17,I17)=G17,"Freshdesk",IF(MIN(D17,E17,F17,G17,H17,I17)=D17,"Gorgias",IF(MIN(D17,E17,F17,G17,H17,I17)=E17,"Intercom",IF(MIN(D17,E17,F17,G17,H17,I17)=I17,"HubSpot","Zendesk")))))</f>
        <v>Hay</v>
      </c>
      <c r="K17" s="20" t="str">
        <f>IF(MIN(D17,E17,F17,G17,I17)=0,"Freshdesk free at this vol.",IF(H17&lt;=MIN(D17,E17,F17,G17,I17),TEXT(ROUND((1-H17/MIN(D17,E17,F17,G17,I17))*100,0),"0")&amp;"% vs "&amp;IF(MIN(D17,E17,F17,G17,I17)=G17,"Freshdesk",IF(MIN(D17,E17,F17,G17,I17)=E17,"Intercom",IF(MIN(D17,E17,F17,G17,I17)=D17,"Gorgias",IF(MIN(D17,E17,F17,G17,I17)=I17,"HubSpot","Zendesk")))),TEXT(ROUND((H17/MIN(D17,E17,F17,G17,I17)-1)*100,0),"0")&amp;"% more vs "&amp;IF(MIN(D17,E17,F17,G17,I17)=G17,"Freshdesk",IF(MIN(D17,E17,F17,G17,I17)=E17,"Intercom",IF(MIN(D17,E17,F17,G17,I17)=D17,"Gorgias",IF(MIN(D17,E17,F17,G17,I17)=I17,"HubSpot","Zendesk"))))))</f>
        <v>90% vs HubSpot</v>
      </c>
    </row>
    <row r="18" spans="1:11" ht="15" customHeight="1" x14ac:dyDescent="0.2">
      <c r="A18" s="20">
        <v>14</v>
      </c>
      <c r="B18" s="21">
        <v>5000</v>
      </c>
      <c r="C18" s="20">
        <v>3</v>
      </c>
      <c r="D18" s="21">
        <f>B18*'Scenario Grid'!$B$2*1</f>
        <v>2500</v>
      </c>
      <c r="E18" s="21">
        <f>B18*'Scenario Grid'!$B$2*0.99</f>
        <v>2475</v>
      </c>
      <c r="F18" s="21">
        <f>(C18*50)+(B18*'Scenario Grid'!$B$2*1.5)</f>
        <v>3900</v>
      </c>
      <c r="G18" s="21">
        <f>MAX(0,B18*1.2-500)*0.45</f>
        <v>2475</v>
      </c>
      <c r="H18" s="21">
        <f>MIN(50+MAX(0,B18*'Scenario Grid'!$B$2-500)*0.25,135+MAX(0,B18*'Scenario Grid'!$B$2-2000)*0.2,725+MAX(0,B18*'Scenario Grid'!$B$2-20000)*0.15)</f>
        <v>235</v>
      </c>
      <c r="I18" s="21">
        <f>MAX(0,B18*'Scenario Grid'!$B$2-50)*1</f>
        <v>2450</v>
      </c>
      <c r="J18" s="27" t="str">
        <f>IF(MIN(D18,E18,F18,G18,H18,I18)=H18,"Hay",IF(MIN(D18,E18,F18,G18,H18,I18)=G18,"Freshdesk",IF(MIN(D18,E18,F18,G18,H18,I18)=D18,"Gorgias",IF(MIN(D18,E18,F18,G18,H18,I18)=E18,"Intercom",IF(MIN(D18,E18,F18,G18,H18,I18)=I18,"HubSpot","Zendesk")))))</f>
        <v>Hay</v>
      </c>
      <c r="K18" s="20" t="str">
        <f>IF(MIN(D18,E18,F18,G18,I18)=0,"Freshdesk free at this vol.",IF(H18&lt;=MIN(D18,E18,F18,G18,I18),TEXT(ROUND((1-H18/MIN(D18,E18,F18,G18,I18))*100,0),"0")&amp;"% vs "&amp;IF(MIN(D18,E18,F18,G18,I18)=G18,"Freshdesk",IF(MIN(D18,E18,F18,G18,I18)=E18,"Intercom",IF(MIN(D18,E18,F18,G18,I18)=D18,"Gorgias",IF(MIN(D18,E18,F18,G18,I18)=I18,"HubSpot","Zendesk")))),TEXT(ROUND((H18/MIN(D18,E18,F18,G18,I18)-1)*100,0),"0")&amp;"% more vs "&amp;IF(MIN(D18,E18,F18,G18,I18)=G18,"Freshdesk",IF(MIN(D18,E18,F18,G18,I18)=E18,"Intercom",IF(MIN(D18,E18,F18,G18,I18)=D18,"Gorgias",IF(MIN(D18,E18,F18,G18,I18)=I18,"HubSpot","Zendesk"))))))</f>
        <v>90% vs HubSpot</v>
      </c>
    </row>
    <row r="19" spans="1:11" ht="15" customHeight="1" x14ac:dyDescent="0.2">
      <c r="A19" s="20">
        <v>15</v>
      </c>
      <c r="B19" s="21">
        <v>5000</v>
      </c>
      <c r="C19" s="20">
        <v>5</v>
      </c>
      <c r="D19" s="21">
        <f>B19*'Scenario Grid'!$B$2*1</f>
        <v>2500</v>
      </c>
      <c r="E19" s="21">
        <f>B19*'Scenario Grid'!$B$2*0.99</f>
        <v>2475</v>
      </c>
      <c r="F19" s="21">
        <f>(C19*50)+(B19*'Scenario Grid'!$B$2*1.5)</f>
        <v>4000</v>
      </c>
      <c r="G19" s="21">
        <f>MAX(0,B19*1.2-500)*0.45</f>
        <v>2475</v>
      </c>
      <c r="H19" s="21">
        <f>MIN(50+MAX(0,B19*'Scenario Grid'!$B$2-500)*0.25,135+MAX(0,B19*'Scenario Grid'!$B$2-2000)*0.2,725+MAX(0,B19*'Scenario Grid'!$B$2-20000)*0.15)</f>
        <v>235</v>
      </c>
      <c r="I19" s="21">
        <f>MAX(0,B19*'Scenario Grid'!$B$2-50)*1</f>
        <v>2450</v>
      </c>
      <c r="J19" s="27" t="str">
        <f>IF(MIN(D19,E19,F19,G19,H19,I19)=H19,"Hay",IF(MIN(D19,E19,F19,G19,H19,I19)=G19,"Freshdesk",IF(MIN(D19,E19,F19,G19,H19,I19)=D19,"Gorgias",IF(MIN(D19,E19,F19,G19,H19,I19)=E19,"Intercom",IF(MIN(D19,E19,F19,G19,H19,I19)=I19,"HubSpot","Zendesk")))))</f>
        <v>Hay</v>
      </c>
      <c r="K19" s="20" t="str">
        <f>IF(MIN(D19,E19,F19,G19,I19)=0,"Freshdesk free at this vol.",IF(H19&lt;=MIN(D19,E19,F19,G19,I19),TEXT(ROUND((1-H19/MIN(D19,E19,F19,G19,I19))*100,0),"0")&amp;"% vs "&amp;IF(MIN(D19,E19,F19,G19,I19)=G19,"Freshdesk",IF(MIN(D19,E19,F19,G19,I19)=E19,"Intercom",IF(MIN(D19,E19,F19,G19,I19)=D19,"Gorgias",IF(MIN(D19,E19,F19,G19,I19)=I19,"HubSpot","Zendesk")))),TEXT(ROUND((H19/MIN(D19,E19,F19,G19,I19)-1)*100,0),"0")&amp;"% more vs "&amp;IF(MIN(D19,E19,F19,G19,I19)=G19,"Freshdesk",IF(MIN(D19,E19,F19,G19,I19)=E19,"Intercom",IF(MIN(D19,E19,F19,G19,I19)=D19,"Gorgias",IF(MIN(D19,E19,F19,G19,I19)=I19,"HubSpot","Zendesk"))))))</f>
        <v>90% vs HubSpot</v>
      </c>
    </row>
    <row r="20" spans="1:11" ht="15" customHeight="1" x14ac:dyDescent="0.2">
      <c r="A20" s="20">
        <v>16</v>
      </c>
      <c r="B20" s="21">
        <v>5000</v>
      </c>
      <c r="C20" s="20">
        <v>10</v>
      </c>
      <c r="D20" s="21">
        <f>B20*'Scenario Grid'!$B$2*1</f>
        <v>2500</v>
      </c>
      <c r="E20" s="21">
        <f>B20*'Scenario Grid'!$B$2*0.99</f>
        <v>2475</v>
      </c>
      <c r="F20" s="21">
        <f>(C20*50)+(B20*'Scenario Grid'!$B$2*1.5)</f>
        <v>4250</v>
      </c>
      <c r="G20" s="21">
        <f>MAX(0,B20*1.2-500)*0.45</f>
        <v>2475</v>
      </c>
      <c r="H20" s="21">
        <f>MIN(50+MAX(0,B20*'Scenario Grid'!$B$2-500)*0.25,135+MAX(0,B20*'Scenario Grid'!$B$2-2000)*0.2,725+MAX(0,B20*'Scenario Grid'!$B$2-20000)*0.15)</f>
        <v>235</v>
      </c>
      <c r="I20" s="21">
        <f>MAX(0,B20*'Scenario Grid'!$B$2-50)*1</f>
        <v>2450</v>
      </c>
      <c r="J20" s="27" t="str">
        <f>IF(MIN(D20,E20,F20,G20,H20,I20)=H20,"Hay",IF(MIN(D20,E20,F20,G20,H20,I20)=G20,"Freshdesk",IF(MIN(D20,E20,F20,G20,H20,I20)=D20,"Gorgias",IF(MIN(D20,E20,F20,G20,H20,I20)=E20,"Intercom",IF(MIN(D20,E20,F20,G20,H20,I20)=I20,"HubSpot","Zendesk")))))</f>
        <v>Hay</v>
      </c>
      <c r="K20" s="20" t="str">
        <f>IF(MIN(D20,E20,F20,G20,I20)=0,"Freshdesk free at this vol.",IF(H20&lt;=MIN(D20,E20,F20,G20,I20),TEXT(ROUND((1-H20/MIN(D20,E20,F20,G20,I20))*100,0),"0")&amp;"% vs "&amp;IF(MIN(D20,E20,F20,G20,I20)=G20,"Freshdesk",IF(MIN(D20,E20,F20,G20,I20)=E20,"Intercom",IF(MIN(D20,E20,F20,G20,I20)=D20,"Gorgias",IF(MIN(D20,E20,F20,G20,I20)=I20,"HubSpot","Zendesk")))),TEXT(ROUND((H20/MIN(D20,E20,F20,G20,I20)-1)*100,0),"0")&amp;"% more vs "&amp;IF(MIN(D20,E20,F20,G20,I20)=G20,"Freshdesk",IF(MIN(D20,E20,F20,G20,I20)=E20,"Intercom",IF(MIN(D20,E20,F20,G20,I20)=D20,"Gorgias",IF(MIN(D20,E20,F20,G20,I20)=I20,"HubSpot","Zendesk"))))))</f>
        <v>90% vs HubSpot</v>
      </c>
    </row>
    <row r="22" spans="1:11" ht="15" customHeight="1" x14ac:dyDescent="0.2">
      <c r="A22" s="20">
        <v>17</v>
      </c>
      <c r="B22" s="21">
        <v>10000</v>
      </c>
      <c r="C22" s="20">
        <v>1</v>
      </c>
      <c r="D22" s="21">
        <f>B22*'Scenario Grid'!$B$2*1</f>
        <v>5000</v>
      </c>
      <c r="E22" s="21">
        <f>B22*'Scenario Grid'!$B$2*0.99</f>
        <v>4950</v>
      </c>
      <c r="F22" s="21">
        <f>(C22*50)+(B22*'Scenario Grid'!$B$2*1.5)</f>
        <v>7550</v>
      </c>
      <c r="G22" s="21">
        <f>MAX(0,B22*1.2-500)*0.45</f>
        <v>5175</v>
      </c>
      <c r="H22" s="21">
        <f>MIN(50+MAX(0,B22*'Scenario Grid'!$B$2-500)*0.25,135+MAX(0,B22*'Scenario Grid'!$B$2-2000)*0.2,725+MAX(0,B22*'Scenario Grid'!$B$2-20000)*0.15)</f>
        <v>725</v>
      </c>
      <c r="I22" s="21">
        <f>MAX(0,B22*'Scenario Grid'!$B$2-50)*1</f>
        <v>4950</v>
      </c>
      <c r="J22" s="27" t="str">
        <f>IF(MIN(D22,E22,F22,G22,H22,I22)=H22,"Hay",IF(MIN(D22,E22,F22,G22,H22,I22)=G22,"Freshdesk",IF(MIN(D22,E22,F22,G22,H22,I22)=D22,"Gorgias",IF(MIN(D22,E22,F22,G22,H22,I22)=E22,"Intercom",IF(MIN(D22,E22,F22,G22,H22,I22)=I22,"HubSpot","Zendesk")))))</f>
        <v>Hay</v>
      </c>
      <c r="K22" s="20" t="str">
        <f>IF(MIN(D22,E22,F22,G22,I22)=0,"Freshdesk free at this vol.",IF(H22&lt;=MIN(D22,E22,F22,G22,I22),TEXT(ROUND((1-H22/MIN(D22,E22,F22,G22,I22))*100,0),"0")&amp;"% vs "&amp;IF(MIN(D22,E22,F22,G22,I22)=G22,"Freshdesk",IF(MIN(D22,E22,F22,G22,I22)=E22,"Intercom",IF(MIN(D22,E22,F22,G22,I22)=D22,"Gorgias",IF(MIN(D22,E22,F22,G22,I22)=I22,"HubSpot","Zendesk")))),TEXT(ROUND((H22/MIN(D22,E22,F22,G22,I22)-1)*100,0),"0")&amp;"% more vs "&amp;IF(MIN(D22,E22,F22,G22,I22)=G22,"Freshdesk",IF(MIN(D22,E22,F22,G22,I22)=E22,"Intercom",IF(MIN(D22,E22,F22,G22,I22)=D22,"Gorgias",IF(MIN(D22,E22,F22,G22,I22)=I22,"HubSpot","Zendesk"))))))</f>
        <v>85% vs Intercom</v>
      </c>
    </row>
    <row r="23" spans="1:11" ht="15" customHeight="1" x14ac:dyDescent="0.2">
      <c r="A23" s="20">
        <v>18</v>
      </c>
      <c r="B23" s="21">
        <v>10000</v>
      </c>
      <c r="C23" s="20">
        <v>3</v>
      </c>
      <c r="D23" s="21">
        <f>B23*'Scenario Grid'!$B$2*1</f>
        <v>5000</v>
      </c>
      <c r="E23" s="21">
        <f>B23*'Scenario Grid'!$B$2*0.99</f>
        <v>4950</v>
      </c>
      <c r="F23" s="21">
        <f>(C23*50)+(B23*'Scenario Grid'!$B$2*1.5)</f>
        <v>7650</v>
      </c>
      <c r="G23" s="21">
        <f>MAX(0,B23*1.2-500)*0.45</f>
        <v>5175</v>
      </c>
      <c r="H23" s="21">
        <f>MIN(50+MAX(0,B23*'Scenario Grid'!$B$2-500)*0.25,135+MAX(0,B23*'Scenario Grid'!$B$2-2000)*0.2,725+MAX(0,B23*'Scenario Grid'!$B$2-20000)*0.15)</f>
        <v>725</v>
      </c>
      <c r="I23" s="21">
        <f>MAX(0,B23*'Scenario Grid'!$B$2-50)*1</f>
        <v>4950</v>
      </c>
      <c r="J23" s="27" t="str">
        <f>IF(MIN(D23,E23,F23,G23,H23,I23)=H23,"Hay",IF(MIN(D23,E23,F23,G23,H23,I23)=G23,"Freshdesk",IF(MIN(D23,E23,F23,G23,H23,I23)=D23,"Gorgias",IF(MIN(D23,E23,F23,G23,H23,I23)=E23,"Intercom",IF(MIN(D23,E23,F23,G23,H23,I23)=I23,"HubSpot","Zendesk")))))</f>
        <v>Hay</v>
      </c>
      <c r="K23" s="20" t="str">
        <f>IF(MIN(D23,E23,F23,G23,I23)=0,"Freshdesk free at this vol.",IF(H23&lt;=MIN(D23,E23,F23,G23,I23),TEXT(ROUND((1-H23/MIN(D23,E23,F23,G23,I23))*100,0),"0")&amp;"% vs "&amp;IF(MIN(D23,E23,F23,G23,I23)=G23,"Freshdesk",IF(MIN(D23,E23,F23,G23,I23)=E23,"Intercom",IF(MIN(D23,E23,F23,G23,I23)=D23,"Gorgias",IF(MIN(D23,E23,F23,G23,I23)=I23,"HubSpot","Zendesk")))),TEXT(ROUND((H23/MIN(D23,E23,F23,G23,I23)-1)*100,0),"0")&amp;"% more vs "&amp;IF(MIN(D23,E23,F23,G23,I23)=G23,"Freshdesk",IF(MIN(D23,E23,F23,G23,I23)=E23,"Intercom",IF(MIN(D23,E23,F23,G23,I23)=D23,"Gorgias",IF(MIN(D23,E23,F23,G23,I23)=I23,"HubSpot","Zendesk"))))))</f>
        <v>85% vs Intercom</v>
      </c>
    </row>
    <row r="24" spans="1:11" ht="15" customHeight="1" x14ac:dyDescent="0.2">
      <c r="A24" s="20">
        <v>19</v>
      </c>
      <c r="B24" s="21">
        <v>10000</v>
      </c>
      <c r="C24" s="20">
        <v>5</v>
      </c>
      <c r="D24" s="21">
        <f>B24*'Scenario Grid'!$B$2*1</f>
        <v>5000</v>
      </c>
      <c r="E24" s="21">
        <f>B24*'Scenario Grid'!$B$2*0.99</f>
        <v>4950</v>
      </c>
      <c r="F24" s="21">
        <f>(C24*50)+(B24*'Scenario Grid'!$B$2*1.5)</f>
        <v>7750</v>
      </c>
      <c r="G24" s="21">
        <f>MAX(0,B24*1.2-500)*0.45</f>
        <v>5175</v>
      </c>
      <c r="H24" s="21">
        <f>MIN(50+MAX(0,B24*'Scenario Grid'!$B$2-500)*0.25,135+MAX(0,B24*'Scenario Grid'!$B$2-2000)*0.2,725+MAX(0,B24*'Scenario Grid'!$B$2-20000)*0.15)</f>
        <v>725</v>
      </c>
      <c r="I24" s="21">
        <f>MAX(0,B24*'Scenario Grid'!$B$2-50)*1</f>
        <v>4950</v>
      </c>
      <c r="J24" s="27" t="str">
        <f>IF(MIN(D24,E24,F24,G24,H24,I24)=H24,"Hay",IF(MIN(D24,E24,F24,G24,H24,I24)=G24,"Freshdesk",IF(MIN(D24,E24,F24,G24,H24,I24)=D24,"Gorgias",IF(MIN(D24,E24,F24,G24,H24,I24)=E24,"Intercom",IF(MIN(D24,E24,F24,G24,H24,I24)=I24,"HubSpot","Zendesk")))))</f>
        <v>Hay</v>
      </c>
      <c r="K24" s="20" t="str">
        <f>IF(MIN(D24,E24,F24,G24,I24)=0,"Freshdesk free at this vol.",IF(H24&lt;=MIN(D24,E24,F24,G24,I24),TEXT(ROUND((1-H24/MIN(D24,E24,F24,G24,I24))*100,0),"0")&amp;"% vs "&amp;IF(MIN(D24,E24,F24,G24,I24)=G24,"Freshdesk",IF(MIN(D24,E24,F24,G24,I24)=E24,"Intercom",IF(MIN(D24,E24,F24,G24,I24)=D24,"Gorgias",IF(MIN(D24,E24,F24,G24,I24)=I24,"HubSpot","Zendesk")))),TEXT(ROUND((H24/MIN(D24,E24,F24,G24,I24)-1)*100,0),"0")&amp;"% more vs "&amp;IF(MIN(D24,E24,F24,G24,I24)=G24,"Freshdesk",IF(MIN(D24,E24,F24,G24,I24)=E24,"Intercom",IF(MIN(D24,E24,F24,G24,I24)=D24,"Gorgias",IF(MIN(D24,E24,F24,G24,I24)=I24,"HubSpot","Zendesk"))))))</f>
        <v>85% vs Intercom</v>
      </c>
    </row>
    <row r="25" spans="1:11" ht="15" customHeight="1" x14ac:dyDescent="0.2">
      <c r="A25" s="20">
        <v>20</v>
      </c>
      <c r="B25" s="21">
        <v>10000</v>
      </c>
      <c r="C25" s="20">
        <v>10</v>
      </c>
      <c r="D25" s="21">
        <f>B25*'Scenario Grid'!$B$2*1</f>
        <v>5000</v>
      </c>
      <c r="E25" s="21">
        <f>B25*'Scenario Grid'!$B$2*0.99</f>
        <v>4950</v>
      </c>
      <c r="F25" s="21">
        <f>(C25*50)+(B25*'Scenario Grid'!$B$2*1.5)</f>
        <v>8000</v>
      </c>
      <c r="G25" s="21">
        <f>MAX(0,B25*1.2-500)*0.45</f>
        <v>5175</v>
      </c>
      <c r="H25" s="21">
        <f>MIN(50+MAX(0,B25*'Scenario Grid'!$B$2-500)*0.25,135+MAX(0,B25*'Scenario Grid'!$B$2-2000)*0.2,725+MAX(0,B25*'Scenario Grid'!$B$2-20000)*0.15)</f>
        <v>725</v>
      </c>
      <c r="I25" s="21">
        <f>MAX(0,B25*'Scenario Grid'!$B$2-50)*1</f>
        <v>4950</v>
      </c>
      <c r="J25" s="27" t="str">
        <f>IF(MIN(D25,E25,F25,G25,H25,I25)=H25,"Hay",IF(MIN(D25,E25,F25,G25,H25,I25)=G25,"Freshdesk",IF(MIN(D25,E25,F25,G25,H25,I25)=D25,"Gorgias",IF(MIN(D25,E25,F25,G25,H25,I25)=E25,"Intercom",IF(MIN(D25,E25,F25,G25,H25,I25)=I25,"HubSpot","Zendesk")))))</f>
        <v>Hay</v>
      </c>
      <c r="K25" s="20" t="str">
        <f>IF(MIN(D25,E25,F25,G25,I25)=0,"Freshdesk free at this vol.",IF(H25&lt;=MIN(D25,E25,F25,G25,I25),TEXT(ROUND((1-H25/MIN(D25,E25,F25,G25,I25))*100,0),"0")&amp;"% vs "&amp;IF(MIN(D25,E25,F25,G25,I25)=G25,"Freshdesk",IF(MIN(D25,E25,F25,G25,I25)=E25,"Intercom",IF(MIN(D25,E25,F25,G25,I25)=D25,"Gorgias",IF(MIN(D25,E25,F25,G25,I25)=I25,"HubSpot","Zendesk")))),TEXT(ROUND((H25/MIN(D25,E25,F25,G25,I25)-1)*100,0),"0")&amp;"% more vs "&amp;IF(MIN(D25,E25,F25,G25,I25)=G25,"Freshdesk",IF(MIN(D25,E25,F25,G25,I25)=E25,"Intercom",IF(MIN(D25,E25,F25,G25,I25)=D25,"Gorgias",IF(MIN(D25,E25,F25,G25,I25)=I25,"HubSpot","Zendesk"))))))</f>
        <v>85% vs Intercom</v>
      </c>
    </row>
  </sheetData>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9"/>
  <sheetViews>
    <sheetView tabSelected="1" zoomScaleNormal="100" workbookViewId="0">
      <selection activeCell="K46" sqref="K46"/>
    </sheetView>
  </sheetViews>
  <sheetFormatPr baseColWidth="10" defaultColWidth="8.83203125" defaultRowHeight="15" x14ac:dyDescent="0.2"/>
  <cols>
    <col min="1" max="1" width="30" customWidth="1"/>
    <col min="2" max="5" width="18" customWidth="1"/>
  </cols>
  <sheetData>
    <row r="1" spans="1:5" ht="15.75" customHeight="1" x14ac:dyDescent="0.2">
      <c r="A1" s="28" t="s">
        <v>184</v>
      </c>
    </row>
    <row r="2" spans="1:5" ht="15" customHeight="1" x14ac:dyDescent="0.2">
      <c r="A2" s="6" t="s">
        <v>185</v>
      </c>
    </row>
    <row r="4" spans="1:5" ht="15.75" customHeight="1" x14ac:dyDescent="0.2">
      <c r="A4" s="4" t="s">
        <v>186</v>
      </c>
      <c r="B4" s="4" t="s">
        <v>187</v>
      </c>
      <c r="C4" s="4" t="s">
        <v>188</v>
      </c>
      <c r="D4" s="4" t="s">
        <v>189</v>
      </c>
      <c r="E4" s="4" t="s">
        <v>190</v>
      </c>
    </row>
    <row r="5" spans="1:5" ht="15" customHeight="1" x14ac:dyDescent="0.2">
      <c r="A5" s="20" t="s">
        <v>191</v>
      </c>
      <c r="B5" s="21">
        <v>300</v>
      </c>
      <c r="C5" s="20">
        <v>8</v>
      </c>
      <c r="D5" s="21">
        <v>2400</v>
      </c>
      <c r="E5" s="22">
        <v>24</v>
      </c>
    </row>
    <row r="6" spans="1:5" ht="15" customHeight="1" x14ac:dyDescent="0.2">
      <c r="A6" s="20" t="s">
        <v>192</v>
      </c>
      <c r="B6" s="21">
        <v>300</v>
      </c>
      <c r="C6" s="20">
        <v>15</v>
      </c>
      <c r="D6" s="21">
        <v>4500</v>
      </c>
      <c r="E6" s="22">
        <v>45</v>
      </c>
    </row>
    <row r="7" spans="1:5" ht="15" customHeight="1" x14ac:dyDescent="0.2">
      <c r="A7" s="20" t="s">
        <v>193</v>
      </c>
      <c r="B7" s="21">
        <v>300</v>
      </c>
      <c r="C7" s="20">
        <v>25</v>
      </c>
      <c r="D7" s="21">
        <v>7500</v>
      </c>
      <c r="E7" s="22">
        <v>75</v>
      </c>
    </row>
    <row r="8" spans="1:5" ht="15" customHeight="1" x14ac:dyDescent="0.2">
      <c r="A8" s="20" t="s">
        <v>194</v>
      </c>
      <c r="B8" s="21">
        <v>1000</v>
      </c>
      <c r="C8" s="20">
        <v>8</v>
      </c>
      <c r="D8" s="21">
        <v>8000</v>
      </c>
      <c r="E8" s="22">
        <v>80</v>
      </c>
    </row>
    <row r="9" spans="1:5" ht="15" customHeight="1" x14ac:dyDescent="0.2">
      <c r="A9" s="20" t="s">
        <v>195</v>
      </c>
      <c r="B9" s="21">
        <v>1000</v>
      </c>
      <c r="C9" s="20">
        <v>15</v>
      </c>
      <c r="D9" s="21">
        <v>15000</v>
      </c>
      <c r="E9" s="22">
        <v>150</v>
      </c>
    </row>
    <row r="10" spans="1:5" ht="15" customHeight="1" x14ac:dyDescent="0.2">
      <c r="A10" s="20" t="s">
        <v>196</v>
      </c>
      <c r="B10" s="21">
        <v>1000</v>
      </c>
      <c r="C10" s="20">
        <v>25</v>
      </c>
      <c r="D10" s="21">
        <v>25000</v>
      </c>
      <c r="E10" s="22">
        <v>250</v>
      </c>
    </row>
    <row r="11" spans="1:5" ht="15" customHeight="1" x14ac:dyDescent="0.2">
      <c r="A11" s="20" t="s">
        <v>197</v>
      </c>
      <c r="B11" s="21">
        <v>2000</v>
      </c>
      <c r="C11" s="20">
        <v>8</v>
      </c>
      <c r="D11" s="21">
        <v>16000</v>
      </c>
      <c r="E11" s="22">
        <v>160</v>
      </c>
    </row>
    <row r="12" spans="1:5" ht="15" customHeight="1" x14ac:dyDescent="0.2">
      <c r="A12" s="20" t="s">
        <v>198</v>
      </c>
      <c r="B12" s="21">
        <v>2000</v>
      </c>
      <c r="C12" s="20">
        <v>15</v>
      </c>
      <c r="D12" s="21">
        <v>30000</v>
      </c>
      <c r="E12" s="22">
        <v>300</v>
      </c>
    </row>
    <row r="13" spans="1:5" ht="15" customHeight="1" x14ac:dyDescent="0.2">
      <c r="A13" s="20" t="s">
        <v>199</v>
      </c>
      <c r="B13" s="21">
        <v>2000</v>
      </c>
      <c r="C13" s="20">
        <v>25</v>
      </c>
      <c r="D13" s="21">
        <v>50000</v>
      </c>
      <c r="E13" s="22">
        <v>500</v>
      </c>
    </row>
    <row r="14" spans="1:5" ht="15" customHeight="1" x14ac:dyDescent="0.2">
      <c r="A14" s="20" t="s">
        <v>200</v>
      </c>
      <c r="B14" s="21">
        <v>5000</v>
      </c>
      <c r="C14" s="20">
        <v>8</v>
      </c>
      <c r="D14" s="21">
        <v>40000</v>
      </c>
      <c r="E14" s="22">
        <v>400</v>
      </c>
    </row>
    <row r="15" spans="1:5" ht="15" customHeight="1" x14ac:dyDescent="0.2">
      <c r="A15" s="20" t="s">
        <v>201</v>
      </c>
      <c r="B15" s="21">
        <v>5000</v>
      </c>
      <c r="C15" s="20">
        <v>15</v>
      </c>
      <c r="D15" s="21">
        <v>75000</v>
      </c>
      <c r="E15" s="22">
        <v>750</v>
      </c>
    </row>
    <row r="16" spans="1:5" ht="15" customHeight="1" x14ac:dyDescent="0.2">
      <c r="A16" s="20" t="s">
        <v>202</v>
      </c>
      <c r="B16" s="21">
        <v>5000</v>
      </c>
      <c r="C16" s="20">
        <v>25</v>
      </c>
      <c r="D16" s="21">
        <v>125000</v>
      </c>
      <c r="E16" s="22">
        <v>1250</v>
      </c>
    </row>
    <row r="18" spans="1:1" ht="15" customHeight="1" x14ac:dyDescent="0.2">
      <c r="A18" s="6" t="s">
        <v>203</v>
      </c>
    </row>
    <row r="19" spans="1:1" ht="15" customHeight="1" x14ac:dyDescent="0.2">
      <c r="A19" s="6" t="s">
        <v>204</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Methodology</vt:lpstr>
      <vt:lpstr>Pricing Reference</vt:lpstr>
      <vt:lpstr>Billing Models</vt:lpstr>
      <vt:lpstr>Scenario Grid</vt:lpstr>
      <vt:lpstr>AI Cost Comparison</vt:lpstr>
      <vt:lpstr>Amazon Connect Sidenote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Damien Mulhall</cp:lastModifiedBy>
  <cp:revision>0</cp:revision>
  <dcterms:created xsi:type="dcterms:W3CDTF">2026-02-24T21:14:40Z</dcterms:created>
  <dcterms:modified xsi:type="dcterms:W3CDTF">2026-02-25T12:57:57Z</dcterms:modified>
  <dc:language>en-US</dc:language>
</cp:coreProperties>
</file>